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0" windowWidth="12315" windowHeight="7905"/>
  </bookViews>
  <sheets>
    <sheet name="EF &amp; Crop Acres" sheetId="4" r:id="rId1"/>
  </sheets>
  <calcPr calcId="125725"/>
</workbook>
</file>

<file path=xl/calcChain.xml><?xml version="1.0" encoding="utf-8"?>
<calcChain xmlns="http://schemas.openxmlformats.org/spreadsheetml/2006/main">
  <c r="H73" i="4"/>
  <c r="P75"/>
  <c r="P74"/>
  <c r="P73"/>
  <c r="I78"/>
  <c r="Q79"/>
  <c r="Q75"/>
  <c r="N75"/>
  <c r="N74"/>
  <c r="N73"/>
  <c r="P79"/>
  <c r="O79"/>
  <c r="P77"/>
  <c r="O77"/>
  <c r="P76"/>
  <c r="O76"/>
  <c r="N77"/>
  <c r="N76"/>
  <c r="M62"/>
  <c r="M61"/>
  <c r="M60"/>
  <c r="B65"/>
  <c r="H65"/>
  <c r="C65" s="1"/>
  <c r="G65"/>
  <c r="F65"/>
  <c r="M63"/>
  <c r="B66"/>
  <c r="F66"/>
  <c r="G66"/>
  <c r="H66"/>
  <c r="M66"/>
  <c r="B64"/>
  <c r="F64"/>
  <c r="M64" s="1"/>
  <c r="G64"/>
  <c r="H64"/>
  <c r="B79"/>
  <c r="C79"/>
  <c r="D79"/>
  <c r="M79" s="1"/>
  <c r="E79"/>
  <c r="F79"/>
  <c r="G79"/>
  <c r="H79"/>
  <c r="I79"/>
  <c r="J79"/>
  <c r="B78"/>
  <c r="D78"/>
  <c r="E78"/>
  <c r="F78"/>
  <c r="G78"/>
  <c r="H78"/>
  <c r="J78"/>
  <c r="B77"/>
  <c r="C77"/>
  <c r="D77"/>
  <c r="E77"/>
  <c r="F77"/>
  <c r="G77"/>
  <c r="H77"/>
  <c r="I77"/>
  <c r="J77"/>
  <c r="M77"/>
  <c r="I82" s="1"/>
  <c r="B76"/>
  <c r="C76"/>
  <c r="D76"/>
  <c r="E76"/>
  <c r="F76"/>
  <c r="G76"/>
  <c r="H76"/>
  <c r="I76"/>
  <c r="J76"/>
  <c r="M76"/>
  <c r="B75"/>
  <c r="C75"/>
  <c r="D75"/>
  <c r="E75"/>
  <c r="F75"/>
  <c r="G75"/>
  <c r="H75"/>
  <c r="I75"/>
  <c r="J75"/>
  <c r="M75"/>
  <c r="B74"/>
  <c r="C74"/>
  <c r="D74"/>
  <c r="E74"/>
  <c r="F74"/>
  <c r="G74"/>
  <c r="H74"/>
  <c r="I74"/>
  <c r="J74"/>
  <c r="M74"/>
  <c r="B73"/>
  <c r="C73"/>
  <c r="M73" s="1"/>
  <c r="D73"/>
  <c r="E73"/>
  <c r="F73"/>
  <c r="G73"/>
  <c r="I73"/>
  <c r="J73"/>
  <c r="L77"/>
  <c r="K73"/>
  <c r="M22"/>
  <c r="M69"/>
  <c r="K79"/>
  <c r="S4" s="1"/>
  <c r="S5"/>
  <c r="S7"/>
  <c r="S9"/>
  <c r="S11"/>
  <c r="K12"/>
  <c r="S12"/>
  <c r="S14"/>
  <c r="S16"/>
  <c r="S18"/>
  <c r="S20"/>
  <c r="K21"/>
  <c r="S21"/>
  <c r="S23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K78"/>
  <c r="K76"/>
  <c r="P4" s="1"/>
  <c r="P5"/>
  <c r="P7"/>
  <c r="P9"/>
  <c r="P11"/>
  <c r="P13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K77"/>
  <c r="Q4"/>
  <c r="Q5"/>
  <c r="K75"/>
  <c r="O52" s="1"/>
  <c r="O51"/>
  <c r="O49"/>
  <c r="O47"/>
  <c r="O45"/>
  <c r="O43"/>
  <c r="O41"/>
  <c r="O39"/>
  <c r="O37"/>
  <c r="O35"/>
  <c r="O33"/>
  <c r="O31"/>
  <c r="O29"/>
  <c r="O27"/>
  <c r="O25"/>
  <c r="O23"/>
  <c r="O21"/>
  <c r="O19"/>
  <c r="O17"/>
  <c r="O15"/>
  <c r="O13"/>
  <c r="O11"/>
  <c r="O9"/>
  <c r="O7"/>
  <c r="O5"/>
  <c r="M4"/>
  <c r="K74"/>
  <c r="N52" s="1"/>
  <c r="N51"/>
  <c r="N49"/>
  <c r="N47"/>
  <c r="N45"/>
  <c r="N43"/>
  <c r="N41"/>
  <c r="N39"/>
  <c r="N37"/>
  <c r="N35"/>
  <c r="N33"/>
  <c r="N31"/>
  <c r="N29"/>
  <c r="N27"/>
  <c r="N25"/>
  <c r="N23"/>
  <c r="N21"/>
  <c r="N19"/>
  <c r="N17"/>
  <c r="N15"/>
  <c r="N13"/>
  <c r="N11"/>
  <c r="N9"/>
  <c r="N7"/>
  <c r="N5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1"/>
  <c r="M20"/>
  <c r="M19"/>
  <c r="M18"/>
  <c r="M17"/>
  <c r="M16"/>
  <c r="M15"/>
  <c r="M14"/>
  <c r="M13"/>
  <c r="M12"/>
  <c r="M11"/>
  <c r="M10"/>
  <c r="M9"/>
  <c r="M8"/>
  <c r="M7"/>
  <c r="M6"/>
  <c r="M53" s="1"/>
  <c r="M5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C53"/>
  <c r="I53"/>
  <c r="Q53"/>
  <c r="H53"/>
  <c r="B53"/>
  <c r="D53"/>
  <c r="E53"/>
  <c r="F53"/>
  <c r="G53"/>
  <c r="J53"/>
  <c r="K53"/>
  <c r="M65" l="1"/>
  <c r="C78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O4"/>
  <c r="O6"/>
  <c r="O8"/>
  <c r="O10"/>
  <c r="O12"/>
  <c r="O14"/>
  <c r="O16"/>
  <c r="O18"/>
  <c r="O20"/>
  <c r="O22"/>
  <c r="O24"/>
  <c r="O26"/>
  <c r="O28"/>
  <c r="O30"/>
  <c r="O32"/>
  <c r="O34"/>
  <c r="O36"/>
  <c r="O38"/>
  <c r="O40"/>
  <c r="O42"/>
  <c r="O44"/>
  <c r="O46"/>
  <c r="O48"/>
  <c r="O50"/>
  <c r="P52"/>
  <c r="P50"/>
  <c r="P48"/>
  <c r="P46"/>
  <c r="P44"/>
  <c r="P42"/>
  <c r="P40"/>
  <c r="P38"/>
  <c r="P36"/>
  <c r="P34"/>
  <c r="P32"/>
  <c r="P30"/>
  <c r="P28"/>
  <c r="P26"/>
  <c r="P24"/>
  <c r="P22"/>
  <c r="P20"/>
  <c r="P18"/>
  <c r="P16"/>
  <c r="P14"/>
  <c r="P12"/>
  <c r="P10"/>
  <c r="P8"/>
  <c r="P6"/>
  <c r="P53" s="1"/>
  <c r="S24"/>
  <c r="S22"/>
  <c r="S19"/>
  <c r="S17"/>
  <c r="S15"/>
  <c r="S13"/>
  <c r="S10"/>
  <c r="S8"/>
  <c r="S6"/>
  <c r="S53" s="1"/>
  <c r="O53" l="1"/>
  <c r="N53"/>
  <c r="M78"/>
  <c r="R4"/>
  <c r="R6"/>
  <c r="R8"/>
  <c r="R10"/>
  <c r="R12"/>
  <c r="R14"/>
  <c r="R16"/>
  <c r="R18"/>
  <c r="R20"/>
  <c r="R22"/>
  <c r="R24"/>
  <c r="R26"/>
  <c r="R28"/>
  <c r="R30"/>
  <c r="R32"/>
  <c r="R34"/>
  <c r="R36"/>
  <c r="R38"/>
  <c r="R40"/>
  <c r="R42"/>
  <c r="R44"/>
  <c r="R46"/>
  <c r="R48"/>
  <c r="R50"/>
  <c r="R52"/>
  <c r="R5"/>
  <c r="R7"/>
  <c r="R9"/>
  <c r="R11"/>
  <c r="R13"/>
  <c r="R15"/>
  <c r="R17"/>
  <c r="R19"/>
  <c r="R21"/>
  <c r="R23"/>
  <c r="R25"/>
  <c r="R27"/>
  <c r="R29"/>
  <c r="R31"/>
  <c r="R33"/>
  <c r="R35"/>
  <c r="R37"/>
  <c r="R39"/>
  <c r="R41"/>
  <c r="R43"/>
  <c r="R45"/>
  <c r="R47"/>
  <c r="R49"/>
  <c r="R51"/>
  <c r="R53" l="1"/>
</calcChain>
</file>

<file path=xl/comments1.xml><?xml version="1.0" encoding="utf-8"?>
<comments xmlns="http://schemas.openxmlformats.org/spreadsheetml/2006/main">
  <authors>
    <author>ctsuser</author>
  </authors>
  <commentList>
    <comment ref="J2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Acres Burned Table 27 2007 COA</t>
        </r>
      </text>
    </comment>
    <comment ref="J5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Ref 3 - Efs are fr ID SIP for VOC, CO, PM2.5, Nox, SO2</t>
        </r>
      </text>
    </comment>
    <comment ref="K5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Ref 2 &amp; 3 -  PM2.5, CO, VOC, NOx, SO2 
Ref 3 - CH4: AP-42 1.2 - 3.8</t>
        </r>
      </text>
    </comment>
    <comment ref="L5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Avg of crops except Grass Seed and Sugar cane
(Fr ARB and used by STI)</t>
        </r>
      </text>
    </comment>
    <comment ref="N59" authorId="0">
      <text>
        <r>
          <rPr>
            <b/>
            <sz val="8"/>
            <color indexed="81"/>
            <rFont val="Tahoma"/>
          </rPr>
          <t>ctsuser:STI</t>
        </r>
      </text>
    </comment>
    <comment ref="O5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AP-42</t>
        </r>
      </text>
    </comment>
    <comment ref="P5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AP-42 &amp; STI</t>
        </r>
      </text>
    </comment>
    <comment ref="K64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AP-42 6 - 8.4
STI 7.9</t>
        </r>
      </text>
    </comment>
    <comment ref="E66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AP-42  4 - 7.8</t>
        </r>
      </text>
    </comment>
    <comment ref="I66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AP_42 8.5 - 9</t>
        </r>
      </text>
    </comment>
    <comment ref="K66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AP-42 mid-point
</t>
        </r>
      </text>
    </comment>
    <comment ref="J6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ID SIP says PM2.5, VOC &amp; SO2 is 2.2 but has 1.6 for CO &amp; Nox  in Tbl 32</t>
        </r>
      </text>
    </comment>
    <comment ref="K6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LA 4 T / Ac, FL 5.5 T / Ac per Southerland &amp; McBath</t>
        </r>
      </text>
    </comment>
    <comment ref="N72" authorId="0">
      <text>
        <r>
          <rPr>
            <b/>
            <sz val="8"/>
            <color indexed="81"/>
            <rFont val="Tahoma"/>
          </rPr>
          <t>ctsuser:STI</t>
        </r>
      </text>
    </comment>
    <comment ref="O72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AP-42</t>
        </r>
      </text>
    </comment>
    <comment ref="P72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AP-42 &amp; STI</t>
        </r>
      </text>
    </comment>
    <comment ref="Q75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Jenkins 
NMOC*.57*1.9
/2000
</t>
        </r>
      </text>
    </comment>
    <comment ref="A78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Wheat, Rice, Corn &amp; barley fr Jenkins</t>
        </r>
      </text>
    </comment>
    <comment ref="A7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Wheat, Corn, Rice &amp; Barley fr Jenkins </t>
        </r>
      </text>
    </comment>
    <comment ref="Q7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Jenkins 
CH4*.57*1.9
/2000
</t>
        </r>
      </text>
    </comment>
    <comment ref="B80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PM2.5 Avg of Head &amp; backfire fr STI - they  used 0.016 instead of 0.0096</t>
        </r>
      </text>
    </comment>
    <comment ref="L84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Back-calculated for STI-based pollutants</t>
        </r>
      </text>
    </comment>
    <comment ref="J89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ID EF (15.9) appeared to be for PM10.  ARB would have been consistent if ID's were really PM10</t>
        </r>
      </text>
    </comment>
    <comment ref="I91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Headfire</t>
        </r>
      </text>
    </comment>
    <comment ref="B102" authorId="0">
      <text>
        <r>
          <rPr>
            <b/>
            <sz val="8"/>
            <color indexed="81"/>
            <rFont val="Tahoma"/>
          </rPr>
          <t>ctsuser:</t>
        </r>
        <r>
          <rPr>
            <sz val="8"/>
            <color indexed="81"/>
            <rFont val="Tahoma"/>
          </rPr>
          <t xml:space="preserve">
Due to timeframe of testing (1978), PM is assumed to be Total PM and multiplier was assumed = .9379 in STI.</t>
        </r>
      </text>
    </comment>
  </commentList>
</comments>
</file>

<file path=xl/sharedStrings.xml><?xml version="1.0" encoding="utf-8"?>
<sst xmlns="http://schemas.openxmlformats.org/spreadsheetml/2006/main" count="177" uniqueCount="112">
  <si>
    <t>Range</t>
  </si>
  <si>
    <t>Mass.</t>
  </si>
  <si>
    <t>New Hamp.</t>
  </si>
  <si>
    <t>N  Dakota</t>
  </si>
  <si>
    <t>S Dakota</t>
  </si>
  <si>
    <t>W. Virginia</t>
  </si>
  <si>
    <t>Penn.</t>
  </si>
  <si>
    <t xml:space="preserve">Miss. </t>
  </si>
  <si>
    <t>CO</t>
  </si>
  <si>
    <t>Alfalfa</t>
  </si>
  <si>
    <t>Barley</t>
  </si>
  <si>
    <t>Corn</t>
  </si>
  <si>
    <t>Wheat</t>
  </si>
  <si>
    <t>Sorghum</t>
  </si>
  <si>
    <t>Safflower</t>
  </si>
  <si>
    <t>Rice</t>
  </si>
  <si>
    <t>Oats</t>
  </si>
  <si>
    <t>State</t>
  </si>
  <si>
    <t>Arkansas</t>
  </si>
  <si>
    <t>Kansas</t>
  </si>
  <si>
    <t>Louisiana</t>
  </si>
  <si>
    <t>Minnesota</t>
  </si>
  <si>
    <t>Missouri</t>
  </si>
  <si>
    <t>Nebraska</t>
  </si>
  <si>
    <t>Oklahoma</t>
  </si>
  <si>
    <t>Texas</t>
  </si>
  <si>
    <t>Sugar Cane</t>
  </si>
  <si>
    <t>Maine</t>
  </si>
  <si>
    <t>Delaware</t>
  </si>
  <si>
    <t>Hawaii</t>
  </si>
  <si>
    <t>Alabama</t>
  </si>
  <si>
    <t>Connecticut</t>
  </si>
  <si>
    <t>Maryland</t>
  </si>
  <si>
    <t>http://www.deq.state.id.us/air/prog_issues/burning/sip_crop_residue_burning_0408_app_g.pdf</t>
  </si>
  <si>
    <t>PM2.5</t>
  </si>
  <si>
    <t>CO2</t>
  </si>
  <si>
    <t>VOC</t>
  </si>
  <si>
    <t>NOx</t>
  </si>
  <si>
    <t>CH4</t>
  </si>
  <si>
    <t>Loading</t>
  </si>
  <si>
    <t>Pollutant</t>
  </si>
  <si>
    <t>SO2</t>
  </si>
  <si>
    <t>Grass Seed</t>
  </si>
  <si>
    <t>http://www.epa.gov/ttnchie1/ap42/ch02/final/c02s05.pdf</t>
  </si>
  <si>
    <t>CENSUS of AG 2007 Ch 2 Tables 26 &amp; 27 for Nat'l &amp; State crop acres</t>
  </si>
  <si>
    <t>Emissions Factor - lb/ton fuel</t>
  </si>
  <si>
    <t>Emission Factor - Tons/Acre Burned</t>
  </si>
  <si>
    <t xml:space="preserve">National Acres Harvested </t>
  </si>
  <si>
    <t>Fuel Loading - Tons Fuel/Acre</t>
  </si>
  <si>
    <t>Wyoming</t>
  </si>
  <si>
    <t>Wisconsin</t>
  </si>
  <si>
    <t>Washington</t>
  </si>
  <si>
    <t>Virginia</t>
  </si>
  <si>
    <t>Vermont</t>
  </si>
  <si>
    <t>Utah</t>
  </si>
  <si>
    <t>Tennessee</t>
  </si>
  <si>
    <t>Oregon</t>
  </si>
  <si>
    <t>Ohio</t>
  </si>
  <si>
    <t>New York</t>
  </si>
  <si>
    <t>New Mexico</t>
  </si>
  <si>
    <t xml:space="preserve">New Jersey </t>
  </si>
  <si>
    <t>Nevada</t>
  </si>
  <si>
    <t>Montana</t>
  </si>
  <si>
    <t>Michigan</t>
  </si>
  <si>
    <t>Kentucky</t>
  </si>
  <si>
    <t>Iowa</t>
  </si>
  <si>
    <t>Indiana</t>
  </si>
  <si>
    <t>Illinois</t>
  </si>
  <si>
    <t>Idaho</t>
  </si>
  <si>
    <t>Georgia</t>
  </si>
  <si>
    <t>Florida</t>
  </si>
  <si>
    <t xml:space="preserve">Colorado </t>
  </si>
  <si>
    <t>California</t>
  </si>
  <si>
    <t xml:space="preserve">Arizona </t>
  </si>
  <si>
    <t>Alaska</t>
  </si>
  <si>
    <t>Acres 2007 Harvested - 2007 Census of Agriculture</t>
  </si>
  <si>
    <t>N Carolina</t>
  </si>
  <si>
    <t>S Carolina</t>
  </si>
  <si>
    <t>Alfalfa Hay</t>
  </si>
  <si>
    <t>PM2.5 (STI)</t>
  </si>
  <si>
    <t>Range Land</t>
  </si>
  <si>
    <t>Statewide Acreage-weighted Emission Factor (Tons/Acre Burned)</t>
  </si>
  <si>
    <t xml:space="preserve">ARB: </t>
  </si>
  <si>
    <t>Jenkins:</t>
  </si>
  <si>
    <t>Southerland</t>
  </si>
  <si>
    <t>STI:</t>
  </si>
  <si>
    <t>AP-42:</t>
  </si>
  <si>
    <t>Idaho:</t>
  </si>
  <si>
    <t>http://www.dnr.mo.gov/env/apcp/docs/appendixh-6.pdf</t>
  </si>
  <si>
    <t xml:space="preserve">Open Burning of Agricultural Materials.  AP-42, Section 2-5.  US EPA, RTP NC </t>
  </si>
  <si>
    <t>R&amp;D of Planned Burning Emission Inventories for Central States, Sonoma Technology Inc July 2004</t>
  </si>
  <si>
    <t>Overview of Crop Burning SIP Revision, Idaho DEQ, June 2009</t>
  </si>
  <si>
    <t>CA Air Resources Board, 1996</t>
  </si>
  <si>
    <t>http://www.arb.ca.gov/ei/see/memo_ag_emission_factors.pdf</t>
  </si>
  <si>
    <t xml:space="preserve">Atmospheric Pollutants from Open Burning of Agricultural and Forest Biomass.  </t>
  </si>
  <si>
    <t>Agricultural Burning Emission Factors.  CARB. Memo from D. Shemp to B. Werner.  Aug 17, 2000</t>
  </si>
  <si>
    <t>LA - 4 T/Ac, FL 5.5 T/Ac</t>
  </si>
  <si>
    <t xml:space="preserve">MDAD, US EPA, Jan 1978 (See Section 8.12 for Sugar Cane Burning) </t>
  </si>
  <si>
    <t xml:space="preserve">Loading factors for Sugar Cane: </t>
  </si>
  <si>
    <t>Southerland, J H and A Mc Bath.  Emission Factors and Fuel Loading for Sugar Cane Burning.</t>
  </si>
  <si>
    <t>http://www.arb.ca.gov/research/apr/past/statnry.htm</t>
  </si>
  <si>
    <t>4, 5</t>
  </si>
  <si>
    <t>2, 5</t>
  </si>
  <si>
    <t>Range land</t>
  </si>
  <si>
    <t>2, 3</t>
  </si>
  <si>
    <t>Cereals Avg</t>
  </si>
  <si>
    <t>Cereals/Gr Avg</t>
  </si>
  <si>
    <t>Weeds Unsp STI</t>
  </si>
  <si>
    <t>Weeds Unsp AP42</t>
  </si>
  <si>
    <t>Wild Hay AP-42/STI</t>
  </si>
  <si>
    <t xml:space="preserve">Acres =  </t>
  </si>
  <si>
    <t>Emiss =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</si>
</sst>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.000"/>
    <numFmt numFmtId="166" formatCode="0.000"/>
    <numFmt numFmtId="168" formatCode="0.0000"/>
    <numFmt numFmtId="169" formatCode="#,##0.0"/>
    <numFmt numFmtId="170" formatCode="#,##0.0000"/>
    <numFmt numFmtId="171" formatCode="#,##0.00000"/>
  </numFmts>
  <fonts count="12">
    <font>
      <sz val="10"/>
      <name val="Arial"/>
    </font>
    <font>
      <sz val="10"/>
      <name val="Arial"/>
    </font>
    <font>
      <sz val="8"/>
      <name val="Arial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u/>
      <sz val="10"/>
      <color indexed="12"/>
      <name val="Arial"/>
    </font>
    <font>
      <b/>
      <sz val="9"/>
      <name val="Arial"/>
      <family val="2"/>
    </font>
    <font>
      <b/>
      <sz val="8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3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0" fillId="0" borderId="0" xfId="0" applyNumberFormat="1" applyAlignment="1">
      <alignment wrapText="1"/>
    </xf>
    <xf numFmtId="0" fontId="3" fillId="0" borderId="0" xfId="0" applyFont="1"/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/>
    <xf numFmtId="166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64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0" fontId="8" fillId="0" borderId="0" xfId="1" applyAlignment="1" applyProtection="1"/>
    <xf numFmtId="0" fontId="8" fillId="0" borderId="0" xfId="1" applyNumberFormat="1" applyFont="1" applyAlignment="1" applyProtection="1"/>
    <xf numFmtId="168" fontId="0" fillId="0" borderId="0" xfId="0" applyNumberFormat="1" applyAlignment="1">
      <alignment wrapText="1"/>
    </xf>
    <xf numFmtId="169" fontId="0" fillId="0" borderId="0" xfId="0" applyNumberFormat="1"/>
    <xf numFmtId="0" fontId="4" fillId="0" borderId="0" xfId="0" applyFont="1" applyAlignment="1">
      <alignment horizontal="left"/>
    </xf>
    <xf numFmtId="0" fontId="9" fillId="0" borderId="0" xfId="0" applyFont="1" applyAlignment="1">
      <alignment wrapText="1"/>
    </xf>
    <xf numFmtId="166" fontId="2" fillId="0" borderId="0" xfId="0" applyNumberFormat="1" applyFont="1"/>
    <xf numFmtId="3" fontId="9" fillId="0" borderId="0" xfId="0" applyNumberFormat="1" applyFont="1" applyAlignment="1">
      <alignment wrapText="1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164" fontId="3" fillId="0" borderId="0" xfId="0" applyNumberFormat="1" applyFont="1" applyAlignment="1">
      <alignment wrapText="1"/>
    </xf>
    <xf numFmtId="170" fontId="2" fillId="0" borderId="0" xfId="0" applyNumberFormat="1" applyFont="1"/>
    <xf numFmtId="168" fontId="2" fillId="0" borderId="0" xfId="0" applyNumberFormat="1" applyFont="1" applyAlignment="1">
      <alignment wrapText="1"/>
    </xf>
    <xf numFmtId="170" fontId="2" fillId="0" borderId="0" xfId="0" applyNumberFormat="1" applyFont="1" applyAlignment="1">
      <alignment wrapText="1"/>
    </xf>
    <xf numFmtId="169" fontId="2" fillId="0" borderId="0" xfId="0" applyNumberFormat="1" applyFont="1"/>
    <xf numFmtId="164" fontId="2" fillId="2" borderId="0" xfId="0" applyNumberFormat="1" applyFont="1" applyFill="1" applyAlignment="1">
      <alignment wrapText="1"/>
    </xf>
    <xf numFmtId="164" fontId="2" fillId="2" borderId="0" xfId="0" applyNumberFormat="1" applyFont="1" applyFill="1"/>
    <xf numFmtId="0" fontId="4" fillId="0" borderId="1" xfId="0" applyFont="1" applyBorder="1"/>
    <xf numFmtId="0" fontId="0" fillId="0" borderId="1" xfId="0" applyBorder="1"/>
    <xf numFmtId="0" fontId="11" fillId="0" borderId="0" xfId="0" applyFont="1" applyFill="1" applyBorder="1"/>
    <xf numFmtId="168" fontId="2" fillId="0" borderId="0" xfId="0" applyNumberFormat="1" applyFont="1"/>
    <xf numFmtId="171" fontId="2" fillId="0" borderId="0" xfId="0" applyNumberFormat="1" applyFont="1"/>
    <xf numFmtId="169" fontId="2" fillId="0" borderId="0" xfId="0" applyNumberFormat="1" applyFont="1" applyAlignment="1">
      <alignment wrapText="1"/>
    </xf>
    <xf numFmtId="0" fontId="0" fillId="0" borderId="0" xfId="0" applyAlignment="1"/>
    <xf numFmtId="0" fontId="4" fillId="0" borderId="0" xfId="0" applyFont="1" applyBorder="1"/>
    <xf numFmtId="0" fontId="1" fillId="0" borderId="0" xfId="0" applyFont="1"/>
    <xf numFmtId="165" fontId="1" fillId="0" borderId="0" xfId="0" applyNumberFormat="1" applyFont="1"/>
    <xf numFmtId="3" fontId="1" fillId="0" borderId="0" xfId="0" applyNumberFormat="1" applyFont="1"/>
    <xf numFmtId="0" fontId="11" fillId="0" borderId="0" xfId="0" applyFont="1"/>
    <xf numFmtId="165" fontId="3" fillId="0" borderId="0" xfId="0" applyNumberFormat="1" applyFon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3" fontId="9" fillId="0" borderId="2" xfId="0" applyNumberFormat="1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3" fillId="0" borderId="0" xfId="0" applyFont="1" applyBorder="1"/>
    <xf numFmtId="0" fontId="5" fillId="0" borderId="0" xfId="0" applyFont="1" applyBorder="1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169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www.dnr.mo.gov/env/apcp/docs/appendixh-6.pdf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www.epa.gov/ttnchie1/ap42/ch02/final/c02s05.pdf" TargetMode="External"/><Relationship Id="rId1" Type="http://schemas.openxmlformats.org/officeDocument/2006/relationships/hyperlink" Target="http://www.deq.state.id.us/air/prog_issues/burning/sip_crop_residue_burning_0408_app_g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rb.ca.gov/ei/see/memo_ag_emission_factors.pdf" TargetMode="External"/><Relationship Id="rId4" Type="http://schemas.openxmlformats.org/officeDocument/2006/relationships/hyperlink" Target="http://www.arb.ca.gov/research/apr/past/statnry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6"/>
  <sheetViews>
    <sheetView tabSelected="1" workbookViewId="0">
      <pane xSplit="1" ySplit="2" topLeftCell="G3" activePane="bottomRight" state="frozen"/>
      <selection pane="topRight" activeCell="C1" sqref="C1"/>
      <selection pane="bottomLeft" activeCell="A3" sqref="A3"/>
      <selection pane="bottomRight" activeCell="N26" sqref="N26"/>
    </sheetView>
  </sheetViews>
  <sheetFormatPr defaultRowHeight="12.75"/>
  <cols>
    <col min="1" max="1" width="10.28515625" style="9" customWidth="1"/>
    <col min="2" max="2" width="9" customWidth="1"/>
    <col min="3" max="3" width="8.140625" customWidth="1"/>
    <col min="4" max="4" width="8.7109375" customWidth="1"/>
    <col min="5" max="5" width="7.5703125" customWidth="1"/>
    <col min="6" max="6" width="8.42578125" customWidth="1"/>
    <col min="7" max="7" width="8.140625" customWidth="1"/>
    <col min="8" max="8" width="7.7109375" customWidth="1"/>
    <col min="9" max="9" width="8.5703125" customWidth="1"/>
    <col min="10" max="10" width="8" style="3" customWidth="1"/>
    <col min="11" max="11" width="6.5703125" customWidth="1"/>
    <col min="12" max="12" width="8" style="3" customWidth="1"/>
    <col min="13" max="13" width="9.7109375" customWidth="1"/>
    <col min="15" max="15" width="9.5703125" customWidth="1"/>
    <col min="17" max="17" width="9.5703125" bestFit="1" customWidth="1"/>
  </cols>
  <sheetData>
    <row r="1" spans="1:19">
      <c r="A1" s="25"/>
      <c r="B1" s="58" t="s">
        <v>75</v>
      </c>
      <c r="C1" s="59"/>
      <c r="D1" s="59"/>
      <c r="E1" s="59"/>
      <c r="F1" s="59"/>
      <c r="G1" s="59"/>
      <c r="H1" s="59"/>
      <c r="I1" s="59"/>
      <c r="J1" s="59"/>
      <c r="K1" s="59"/>
      <c r="L1" s="40"/>
      <c r="M1" s="58" t="s">
        <v>81</v>
      </c>
      <c r="N1" s="58"/>
      <c r="O1" s="58"/>
      <c r="P1" s="58"/>
      <c r="Q1" s="58"/>
      <c r="R1" s="58"/>
      <c r="S1" s="58"/>
    </row>
    <row r="2" spans="1:19" s="1" customFormat="1" ht="24">
      <c r="A2" s="2" t="s">
        <v>17</v>
      </c>
      <c r="B2" s="22" t="s">
        <v>12</v>
      </c>
      <c r="C2" s="22" t="s">
        <v>13</v>
      </c>
      <c r="D2" s="22" t="s">
        <v>14</v>
      </c>
      <c r="E2" s="22" t="s">
        <v>16</v>
      </c>
      <c r="F2" s="22" t="s">
        <v>11</v>
      </c>
      <c r="G2" s="22" t="s">
        <v>10</v>
      </c>
      <c r="H2" s="22" t="s">
        <v>15</v>
      </c>
      <c r="I2" s="22" t="s">
        <v>78</v>
      </c>
      <c r="J2" s="22" t="s">
        <v>42</v>
      </c>
      <c r="K2" s="22" t="s">
        <v>26</v>
      </c>
      <c r="L2" s="24" t="s">
        <v>0</v>
      </c>
      <c r="M2" s="2" t="s">
        <v>37</v>
      </c>
      <c r="N2" s="2" t="s">
        <v>41</v>
      </c>
      <c r="O2" s="2" t="s">
        <v>36</v>
      </c>
      <c r="P2" s="2" t="s">
        <v>8</v>
      </c>
      <c r="Q2" s="2" t="s">
        <v>34</v>
      </c>
      <c r="R2" s="2" t="s">
        <v>35</v>
      </c>
      <c r="S2" s="2" t="s">
        <v>38</v>
      </c>
    </row>
    <row r="3" spans="1:19" s="1" customFormat="1">
      <c r="A3" s="2"/>
      <c r="C3" s="11"/>
      <c r="D3" s="11"/>
      <c r="E3" s="11"/>
      <c r="F3" s="11"/>
      <c r="G3" s="11"/>
      <c r="H3" s="11"/>
      <c r="I3" s="16"/>
      <c r="J3" s="11"/>
      <c r="K3" s="11"/>
      <c r="L3" s="16"/>
    </row>
    <row r="4" spans="1:19">
      <c r="A4" s="9" t="s">
        <v>30</v>
      </c>
      <c r="B4" s="10">
        <v>76202</v>
      </c>
      <c r="C4" s="10">
        <v>5827</v>
      </c>
      <c r="D4" s="12"/>
      <c r="E4" s="10">
        <v>16111</v>
      </c>
      <c r="F4" s="10">
        <v>276661</v>
      </c>
      <c r="G4" s="12"/>
      <c r="H4" s="10"/>
      <c r="I4" s="10">
        <v>7526</v>
      </c>
      <c r="J4" s="12"/>
      <c r="K4" s="12"/>
      <c r="L4" s="7"/>
      <c r="M4" s="23">
        <f>(B4*B$73+C4*C$73+E4*E$73+D4*D$73+H4*H$73+I4*I$73+J4*J$73+F4*F$73+G4*G$73+K4*K$73)/SUM(B4:K4)</f>
        <v>6.1154809233980338E-3</v>
      </c>
      <c r="N4" s="37">
        <f>(C4*C$74+D4*D$74+F4*F$74+E4*E$74+I4*I$74+J4*J$74+K4*K$74+G4*G$74+H4*H$74+B4*B$74)/SUM(B4:K4)</f>
        <v>8.1646590484062078E-4</v>
      </c>
      <c r="O4" s="23">
        <f>(D4*D$75+E4*E$75+G4*G$75+F4*F$75+J4*J$75+K4*K$75+B4*B$75+H4*H$75+I4*I$75+C4*C$75)/SUM(B4:K4)</f>
        <v>1.2099252433126616E-2</v>
      </c>
      <c r="P4" s="23">
        <f>(E4*E$76+F4*F$76+H4*H$76+G4*G$76+K4*K$76+B4*B$76+C4*C$76+I4*I$76+J4*J$76+D4*D$76)/SUM(B4:K4)</f>
        <v>0.13836687986984963</v>
      </c>
      <c r="Q4" s="23">
        <f t="shared" ref="Q4:Q35" si="0">(H4*H$77+B4*B$77+I4*I$77+C4*C$77+D4*D$77+E4*E$77+F4*F$77+G4*G$77+J4*J$77+K4*K$77)/SUM(B4:K4)</f>
        <v>2.0109750137195737E-2</v>
      </c>
      <c r="R4" s="23">
        <f>(G4*G$78+H4*H$78+J4*J$78+I4*I$78+B4*B$78+C4*C$78+D4*D$78+K4*K$78+E4*E$78+F4*F$78)/SUM(B4:K4)</f>
        <v>4.2863754696917526</v>
      </c>
      <c r="S4" s="23">
        <f>(H4*H$79+I4*I$79+K4*K$79+J4*J$79+C4*C$79+D4*D$79+E4*E$79+B4*B$79+F4*F$79+G4*G$79)/SUM(B4:K4)</f>
        <v>5.8717438664843951E-3</v>
      </c>
    </row>
    <row r="5" spans="1:19">
      <c r="A5" s="9" t="s">
        <v>74</v>
      </c>
      <c r="B5" s="10">
        <v>85567</v>
      </c>
      <c r="C5" s="12"/>
      <c r="D5" s="12"/>
      <c r="E5" s="10">
        <v>1017</v>
      </c>
      <c r="F5" s="12"/>
      <c r="G5" s="10">
        <v>4322</v>
      </c>
      <c r="H5" s="10"/>
      <c r="I5" s="12">
        <v>0</v>
      </c>
      <c r="J5" s="12">
        <v>337</v>
      </c>
      <c r="K5" s="12"/>
      <c r="L5" s="7"/>
      <c r="M5" s="23">
        <f t="shared" ref="M5:M52" si="1">(B5*B$73+C5*C$73+E5*E$73+D5*D$73+E5*E$73+H5*H$73+I5*I$73+J5*J$73+F5*F$73+G5*G$73+K5*K$73)/SUM(B5:K5)</f>
        <v>4.1347568032616203E-3</v>
      </c>
      <c r="N5" s="37">
        <f t="shared" ref="N5:N52" si="2">(C5*C$74+D5*D$74+F5*F$74+E5*E$74+I5*I$74+J5*J$74+K5*K$74+G5*G$74+H5*H$74+B5*B$74)/SUM(B5:K5)</f>
        <v>8.136266343719518E-4</v>
      </c>
      <c r="O5" s="23">
        <f t="shared" ref="O5:O52" si="3">(D5*D$75+E5*E$75+G5*G$75+F5*F$75+J5*J$75+K5*K$75+B5*B$75+H5*H$75+I5*I$75+C5*C$75)/SUM(B5:K5)</f>
        <v>7.5101192420240449E-3</v>
      </c>
      <c r="P5" s="23">
        <f t="shared" ref="P5:P52" si="4">(E5*E$76+F5*F$76+H5*H$76+G5*G$76+K5*K$76+B5*B$76+C5*C$76+I5*I$76+J5*J$76+D5*D$76)/SUM(B5:K5)</f>
        <v>0.11918772103065438</v>
      </c>
      <c r="Q5" s="23">
        <f t="shared" si="0"/>
        <v>9.8285890887170307E-3</v>
      </c>
      <c r="R5" s="23">
        <f>(G5*G$78+H5*H$78+J5*J$78+I5*I$78+B5*B$78+C5*C$78+D5*D$78+K5*K$78+E5*E$78+F5*F$78)/SUM(B5:K5)</f>
        <v>2.1013088909198858</v>
      </c>
      <c r="S5" s="23">
        <f t="shared" ref="S5:S52" si="5">(H5*H$79+I5*I$79+K5*K$79+J5*J$79+C5*C$79+D5*D$79+E5*E$79+B5*B$79+F5*F$79+G5*G$79)/SUM(B5:K5)</f>
        <v>3.237282969856748E-3</v>
      </c>
    </row>
    <row r="6" spans="1:19">
      <c r="A6" s="9" t="s">
        <v>73</v>
      </c>
      <c r="B6" s="10">
        <v>696681</v>
      </c>
      <c r="C6" s="10">
        <v>19703</v>
      </c>
      <c r="D6" s="10">
        <v>47550</v>
      </c>
      <c r="E6" s="10">
        <v>1090</v>
      </c>
      <c r="F6" s="10">
        <v>22654</v>
      </c>
      <c r="G6" s="10">
        <v>31129</v>
      </c>
      <c r="H6" s="10"/>
      <c r="I6" s="10">
        <v>257407</v>
      </c>
      <c r="J6" s="10">
        <v>19275</v>
      </c>
      <c r="K6" s="12"/>
      <c r="L6" s="7"/>
      <c r="M6" s="23">
        <f t="shared" si="1"/>
        <v>3.6258839614090148E-3</v>
      </c>
      <c r="N6" s="37">
        <f t="shared" si="2"/>
        <v>6.6458546822469229E-4</v>
      </c>
      <c r="O6" s="23">
        <f t="shared" si="3"/>
        <v>8.0458971336088269E-3</v>
      </c>
      <c r="P6" s="23">
        <f t="shared" si="4"/>
        <v>0.10175971181362843</v>
      </c>
      <c r="Q6" s="23">
        <f t="shared" si="0"/>
        <v>1.0728454815516318E-2</v>
      </c>
      <c r="R6" s="23">
        <f t="shared" ref="R6:R52" si="6">(G6*G$78+H6*H$78+J6*J$78+I6*I$78+B6*B$78+C6*C$78+D6*D$78+K6*K$78+E6*E$78+F6*F$78)/SUM(B6:K6)</f>
        <v>1.8846415013814806</v>
      </c>
      <c r="S6" s="23">
        <f t="shared" si="5"/>
        <v>3.391256782281664E-3</v>
      </c>
    </row>
    <row r="7" spans="1:19">
      <c r="A7" s="9" t="s">
        <v>18</v>
      </c>
      <c r="B7" s="10">
        <v>354165</v>
      </c>
      <c r="C7" s="10">
        <v>216432</v>
      </c>
      <c r="D7" s="12"/>
      <c r="E7" s="10">
        <v>6431</v>
      </c>
      <c r="F7" s="10">
        <v>584629</v>
      </c>
      <c r="G7" s="12"/>
      <c r="H7" s="10">
        <v>1326000</v>
      </c>
      <c r="I7" s="10">
        <v>11732</v>
      </c>
      <c r="J7" s="10">
        <v>2734</v>
      </c>
      <c r="K7" s="12"/>
      <c r="L7" s="7"/>
      <c r="M7" s="23">
        <f t="shared" si="1"/>
        <v>6.9278032674652676E-3</v>
      </c>
      <c r="N7" s="37">
        <f t="shared" si="2"/>
        <v>1.27004239000241E-3</v>
      </c>
      <c r="O7" s="23">
        <f t="shared" si="3"/>
        <v>8.7109419720773126E-3</v>
      </c>
      <c r="P7" s="23">
        <f t="shared" si="4"/>
        <v>0.10733512241804259</v>
      </c>
      <c r="Q7" s="23">
        <f t="shared" si="0"/>
        <v>1.3833154344894157E-2</v>
      </c>
      <c r="R7" s="23">
        <f t="shared" si="6"/>
        <v>3.5172741074207092</v>
      </c>
      <c r="S7" s="23">
        <f t="shared" si="5"/>
        <v>3.4009600574498749E-3</v>
      </c>
    </row>
    <row r="8" spans="1:19">
      <c r="A8" s="9" t="s">
        <v>72</v>
      </c>
      <c r="B8" s="10">
        <v>2369096</v>
      </c>
      <c r="C8" s="10">
        <v>10909</v>
      </c>
      <c r="D8" s="10">
        <v>2017</v>
      </c>
      <c r="E8" s="10">
        <v>25993</v>
      </c>
      <c r="F8" s="10">
        <v>189965</v>
      </c>
      <c r="G8" s="10">
        <v>44125</v>
      </c>
      <c r="H8" s="10">
        <v>531000</v>
      </c>
      <c r="I8" s="10">
        <v>986982</v>
      </c>
      <c r="J8" s="10">
        <v>68948</v>
      </c>
      <c r="K8" s="12"/>
      <c r="L8" s="7"/>
      <c r="M8" s="23">
        <f t="shared" si="1"/>
        <v>4.1875716883402487E-3</v>
      </c>
      <c r="N8" s="37">
        <f t="shared" si="2"/>
        <v>7.9691555283888647E-4</v>
      </c>
      <c r="O8" s="23">
        <f t="shared" si="3"/>
        <v>7.977401796154443E-3</v>
      </c>
      <c r="P8" s="23">
        <f t="shared" si="4"/>
        <v>9.9061223457597283E-2</v>
      </c>
      <c r="Q8" s="23">
        <f t="shared" si="0"/>
        <v>1.0678043077380595E-2</v>
      </c>
      <c r="R8" s="23">
        <f t="shared" si="6"/>
        <v>2.1148347607123941</v>
      </c>
      <c r="S8" s="23">
        <f t="shared" si="5"/>
        <v>3.2949456580733906E-3</v>
      </c>
    </row>
    <row r="9" spans="1:19">
      <c r="A9" s="9" t="s">
        <v>71</v>
      </c>
      <c r="B9" s="12">
        <v>55</v>
      </c>
      <c r="C9" s="10">
        <v>153196</v>
      </c>
      <c r="E9" s="10">
        <v>9921</v>
      </c>
      <c r="F9" s="10">
        <v>1054844</v>
      </c>
      <c r="G9" s="10">
        <v>59667</v>
      </c>
      <c r="H9" s="10"/>
      <c r="I9" s="10">
        <v>861053</v>
      </c>
      <c r="J9" s="10">
        <v>2771</v>
      </c>
      <c r="K9" s="12"/>
      <c r="L9" s="7"/>
      <c r="M9" s="23">
        <f t="shared" si="1"/>
        <v>4.764680661795642E-3</v>
      </c>
      <c r="N9" s="37">
        <f t="shared" si="2"/>
        <v>5.7796302323550675E-4</v>
      </c>
      <c r="O9" s="23">
        <f t="shared" si="3"/>
        <v>1.1254914114219566E-2</v>
      </c>
      <c r="P9" s="23">
        <f t="shared" si="4"/>
        <v>0.10548470277005867</v>
      </c>
      <c r="Q9" s="23">
        <f t="shared" si="0"/>
        <v>1.8080229599931361E-2</v>
      </c>
      <c r="R9" s="23">
        <f t="shared" si="6"/>
        <v>3.193228574267664</v>
      </c>
      <c r="S9" s="23">
        <f t="shared" si="5"/>
        <v>5.0826605228050268E-3</v>
      </c>
    </row>
    <row r="10" spans="1:19">
      <c r="A10" s="9" t="s">
        <v>31</v>
      </c>
      <c r="B10" s="10">
        <v>54546</v>
      </c>
      <c r="C10" s="12"/>
      <c r="D10" s="12"/>
      <c r="E10" s="12"/>
      <c r="F10" s="10">
        <v>3563</v>
      </c>
      <c r="G10" s="12"/>
      <c r="H10" s="10"/>
      <c r="I10" s="10">
        <v>8343</v>
      </c>
      <c r="J10" s="12"/>
      <c r="K10" s="12"/>
      <c r="L10" s="7"/>
      <c r="M10" s="23">
        <f t="shared" si="1"/>
        <v>3.95066213206525E-3</v>
      </c>
      <c r="N10" s="37">
        <f t="shared" si="2"/>
        <v>7.7698293505086373E-4</v>
      </c>
      <c r="O10" s="23">
        <f t="shared" si="3"/>
        <v>7.7593231204478412E-3</v>
      </c>
      <c r="P10" s="23">
        <f t="shared" si="4"/>
        <v>0.11034149747185938</v>
      </c>
      <c r="Q10" s="23">
        <f t="shared" si="0"/>
        <v>1.0527943991582066E-2</v>
      </c>
      <c r="R10" s="23">
        <f t="shared" si="6"/>
        <v>2.1256491948809559</v>
      </c>
      <c r="S10" s="23">
        <f t="shared" si="5"/>
        <v>3.4104079245141391E-3</v>
      </c>
    </row>
    <row r="11" spans="1:19">
      <c r="A11" s="9" t="s">
        <v>28</v>
      </c>
      <c r="B11" s="10"/>
      <c r="C11" s="12"/>
      <c r="D11" s="12"/>
      <c r="E11" s="12"/>
      <c r="F11" s="10">
        <v>185407</v>
      </c>
      <c r="G11" s="10">
        <v>20106</v>
      </c>
      <c r="H11" s="10"/>
      <c r="I11" s="10">
        <v>3687</v>
      </c>
      <c r="J11" s="12"/>
      <c r="K11" s="12"/>
      <c r="L11" s="7"/>
      <c r="M11" s="23">
        <f t="shared" si="1"/>
        <v>6.5901846080305927E-3</v>
      </c>
      <c r="N11" s="37">
        <f t="shared" si="2"/>
        <v>7.568631453154877E-4</v>
      </c>
      <c r="O11" s="23">
        <f t="shared" si="3"/>
        <v>1.3662025239005738E-2</v>
      </c>
      <c r="P11" s="23">
        <f t="shared" si="4"/>
        <v>0.14780210707456981</v>
      </c>
      <c r="Q11" s="23">
        <f t="shared" si="0"/>
        <v>2.2068199366334092E-2</v>
      </c>
      <c r="R11" s="23">
        <f t="shared" si="6"/>
        <v>4.7516950593304461</v>
      </c>
      <c r="S11" s="23">
        <f t="shared" si="5"/>
        <v>6.5069142706694304E-3</v>
      </c>
    </row>
    <row r="12" spans="1:19">
      <c r="A12" s="9" t="s">
        <v>70</v>
      </c>
      <c r="B12" s="10">
        <v>9157</v>
      </c>
      <c r="C12" s="10">
        <v>1331</v>
      </c>
      <c r="D12" s="12"/>
      <c r="E12" s="10">
        <v>3222</v>
      </c>
      <c r="F12" s="10">
        <v>33915</v>
      </c>
      <c r="G12" s="12"/>
      <c r="H12" s="10">
        <v>11400</v>
      </c>
      <c r="I12" s="10">
        <v>6951</v>
      </c>
      <c r="J12" s="10">
        <v>14264</v>
      </c>
      <c r="K12" s="10">
        <f>378587+19242</f>
        <v>397829</v>
      </c>
      <c r="L12" s="7"/>
      <c r="M12" s="23">
        <f t="shared" si="1"/>
        <v>8.4858463318056594E-3</v>
      </c>
      <c r="N12" s="37">
        <f t="shared" si="2"/>
        <v>1.1427422505956252E-3</v>
      </c>
      <c r="O12" s="23">
        <f t="shared" si="3"/>
        <v>1.6822009845859069E-2</v>
      </c>
      <c r="P12" s="23">
        <f t="shared" si="4"/>
        <v>0.15515206014194605</v>
      </c>
      <c r="Q12" s="23">
        <f t="shared" si="0"/>
        <v>1.6039339604223723E-2</v>
      </c>
      <c r="R12" s="23">
        <f t="shared" si="6"/>
        <v>4.3467781036394282</v>
      </c>
      <c r="S12" s="23">
        <f t="shared" si="5"/>
        <v>4.9879501679360961E-3</v>
      </c>
    </row>
    <row r="13" spans="1:19">
      <c r="A13" s="9" t="s">
        <v>69</v>
      </c>
      <c r="B13" s="10">
        <v>228959</v>
      </c>
      <c r="C13" s="10">
        <v>44694</v>
      </c>
      <c r="D13" s="12"/>
      <c r="E13" s="10">
        <v>28770</v>
      </c>
      <c r="F13" s="10">
        <v>449007</v>
      </c>
      <c r="G13" s="12">
        <v>537</v>
      </c>
      <c r="H13" s="10"/>
      <c r="I13" s="10">
        <v>1655</v>
      </c>
      <c r="J13" s="10">
        <v>6414</v>
      </c>
      <c r="K13" s="12"/>
      <c r="L13" s="7"/>
      <c r="M13" s="23">
        <f t="shared" si="1"/>
        <v>6.0296414511944165E-3</v>
      </c>
      <c r="N13" s="37">
        <f t="shared" si="2"/>
        <v>8.2929662542300634E-4</v>
      </c>
      <c r="O13" s="23">
        <f t="shared" si="3"/>
        <v>1.1237103058276186E-2</v>
      </c>
      <c r="P13" s="23">
        <f t="shared" si="4"/>
        <v>0.13528862129557023</v>
      </c>
      <c r="Q13" s="23">
        <f t="shared" si="0"/>
        <v>1.8940888023406377E-2</v>
      </c>
      <c r="R13" s="23">
        <f t="shared" si="6"/>
        <v>3.9601473153412758</v>
      </c>
      <c r="S13" s="23">
        <f t="shared" si="5"/>
        <v>5.3808164179666041E-3</v>
      </c>
    </row>
    <row r="14" spans="1:19">
      <c r="A14" s="9" t="s">
        <v>29</v>
      </c>
      <c r="B14" s="10"/>
      <c r="C14" s="10"/>
      <c r="D14" s="12"/>
      <c r="E14" s="10"/>
      <c r="F14" s="10">
        <v>3115</v>
      </c>
      <c r="G14" s="12"/>
      <c r="H14" s="10"/>
      <c r="I14" s="12">
        <v>89</v>
      </c>
      <c r="J14" s="10"/>
      <c r="K14" s="12"/>
      <c r="L14" s="7"/>
      <c r="M14" s="23">
        <f t="shared" si="1"/>
        <v>6.7874999999999993E-3</v>
      </c>
      <c r="N14" s="37">
        <f t="shared" si="2"/>
        <v>8.2333333333333336E-4</v>
      </c>
      <c r="O14" s="23">
        <f t="shared" si="3"/>
        <v>1.3716111111111109E-2</v>
      </c>
      <c r="P14" s="23">
        <f t="shared" si="4"/>
        <v>0.14607638888888891</v>
      </c>
      <c r="Q14" s="23">
        <f t="shared" si="0"/>
        <v>2.3059289634462049E-2</v>
      </c>
      <c r="R14" s="23">
        <f t="shared" si="6"/>
        <v>5.024396810603708</v>
      </c>
      <c r="S14" s="23">
        <f t="shared" si="5"/>
        <v>6.7541213627420526E-3</v>
      </c>
    </row>
    <row r="15" spans="1:19">
      <c r="A15" s="9" t="s">
        <v>68</v>
      </c>
      <c r="B15" s="10">
        <v>1191086</v>
      </c>
      <c r="C15" s="12"/>
      <c r="D15" s="10">
        <v>10428</v>
      </c>
      <c r="E15" s="10">
        <v>19629</v>
      </c>
      <c r="F15" s="10">
        <v>104570</v>
      </c>
      <c r="G15" s="10">
        <v>547928</v>
      </c>
      <c r="H15" s="10"/>
      <c r="I15" s="10">
        <v>1037520</v>
      </c>
      <c r="J15" s="10">
        <v>70933</v>
      </c>
      <c r="K15" s="12"/>
      <c r="L15" s="7"/>
      <c r="M15" s="23">
        <f t="shared" si="1"/>
        <v>3.4727306852164958E-3</v>
      </c>
      <c r="N15" s="37">
        <f t="shared" si="2"/>
        <v>4.9029327378680881E-4</v>
      </c>
      <c r="O15" s="23">
        <f t="shared" si="3"/>
        <v>9.1002089303690633E-3</v>
      </c>
      <c r="P15" s="23">
        <f t="shared" si="4"/>
        <v>0.10139707506872685</v>
      </c>
      <c r="Q15" s="23">
        <f t="shared" si="0"/>
        <v>1.1156370723463521E-2</v>
      </c>
      <c r="R15" s="23">
        <f t="shared" si="6"/>
        <v>1.756604951003452</v>
      </c>
      <c r="S15" s="23">
        <f t="shared" si="5"/>
        <v>3.5729159341582419E-3</v>
      </c>
    </row>
    <row r="16" spans="1:19">
      <c r="A16" s="9" t="s">
        <v>67</v>
      </c>
      <c r="B16" s="10">
        <v>891567</v>
      </c>
      <c r="C16" s="10">
        <v>76601</v>
      </c>
      <c r="D16" s="12"/>
      <c r="E16" s="10">
        <v>24265</v>
      </c>
      <c r="F16" s="10">
        <v>13096231</v>
      </c>
      <c r="G16" s="12">
        <v>738</v>
      </c>
      <c r="H16" s="10"/>
      <c r="I16" s="10">
        <v>322339</v>
      </c>
      <c r="J16" s="10">
        <v>1029</v>
      </c>
      <c r="K16" s="12"/>
      <c r="L16" s="7"/>
      <c r="M16" s="23">
        <f t="shared" si="1"/>
        <v>6.6373059814317436E-3</v>
      </c>
      <c r="N16" s="37">
        <f t="shared" si="2"/>
        <v>8.2701084697806167E-4</v>
      </c>
      <c r="O16" s="23">
        <f t="shared" si="3"/>
        <v>1.3289375098957383E-2</v>
      </c>
      <c r="P16" s="23">
        <f t="shared" si="4"/>
        <v>0.14441122507262658</v>
      </c>
      <c r="Q16" s="23">
        <f t="shared" si="0"/>
        <v>2.2266903737483443E-2</v>
      </c>
      <c r="R16" s="23">
        <f t="shared" si="6"/>
        <v>4.8442124516135232</v>
      </c>
      <c r="S16" s="23">
        <f t="shared" si="5"/>
        <v>6.5201500606611338E-3</v>
      </c>
    </row>
    <row r="17" spans="1:19">
      <c r="A17" s="9" t="s">
        <v>66</v>
      </c>
      <c r="B17" s="10">
        <v>362571</v>
      </c>
      <c r="C17" s="10">
        <v>8938</v>
      </c>
      <c r="D17" s="12"/>
      <c r="E17" s="10">
        <v>7948</v>
      </c>
      <c r="F17" s="10">
        <v>6362576</v>
      </c>
      <c r="G17" s="12">
        <v>493</v>
      </c>
      <c r="H17" s="10"/>
      <c r="I17" s="10">
        <v>241129</v>
      </c>
      <c r="J17" s="12">
        <v>201</v>
      </c>
      <c r="K17" s="12"/>
      <c r="L17" s="7"/>
      <c r="M17" s="23">
        <f t="shared" si="1"/>
        <v>6.6047273268520987E-3</v>
      </c>
      <c r="N17" s="37">
        <f t="shared" si="2"/>
        <v>8.1963297496397418E-4</v>
      </c>
      <c r="O17" s="23">
        <f t="shared" si="3"/>
        <v>1.3321624221633436E-2</v>
      </c>
      <c r="P17" s="23">
        <f t="shared" si="4"/>
        <v>0.14366556567675509</v>
      </c>
      <c r="Q17" s="23">
        <f t="shared" si="0"/>
        <v>2.2251323592714777E-2</v>
      </c>
      <c r="R17" s="23">
        <f t="shared" si="6"/>
        <v>4.8321632824132035</v>
      </c>
      <c r="S17" s="23">
        <f t="shared" si="5"/>
        <v>6.5321300783407832E-3</v>
      </c>
    </row>
    <row r="18" spans="1:19">
      <c r="A18" s="9" t="s">
        <v>65</v>
      </c>
      <c r="B18" s="10">
        <v>29512</v>
      </c>
      <c r="C18" s="10">
        <v>2113</v>
      </c>
      <c r="D18" s="12"/>
      <c r="E18" s="10">
        <v>66651</v>
      </c>
      <c r="F18" s="10">
        <v>13842282</v>
      </c>
      <c r="G18" s="10">
        <v>2815</v>
      </c>
      <c r="H18" s="10"/>
      <c r="I18" s="10">
        <v>830440</v>
      </c>
      <c r="J18" s="10">
        <v>1111</v>
      </c>
      <c r="K18" s="12"/>
      <c r="L18" s="7"/>
      <c r="M18" s="23">
        <f t="shared" si="1"/>
        <v>6.6364970662454838E-3</v>
      </c>
      <c r="N18" s="37">
        <f t="shared" si="2"/>
        <v>8.0452925273930356E-4</v>
      </c>
      <c r="O18" s="23">
        <f t="shared" si="3"/>
        <v>1.3528944172910805E-2</v>
      </c>
      <c r="P18" s="23">
        <f t="shared" si="4"/>
        <v>0.14294747119139159</v>
      </c>
      <c r="Q18" s="23">
        <f t="shared" si="0"/>
        <v>2.2638587215028479E-2</v>
      </c>
      <c r="R18" s="23">
        <f t="shared" si="6"/>
        <v>4.8816818029085036</v>
      </c>
      <c r="S18" s="23">
        <f t="shared" si="5"/>
        <v>6.6346056454630051E-3</v>
      </c>
    </row>
    <row r="19" spans="1:19">
      <c r="A19" s="9" t="s">
        <v>19</v>
      </c>
      <c r="B19" s="10">
        <v>8527780</v>
      </c>
      <c r="C19" s="10">
        <v>2625920</v>
      </c>
      <c r="D19" s="12"/>
      <c r="E19" s="10">
        <v>29761</v>
      </c>
      <c r="F19" s="10">
        <v>3680278</v>
      </c>
      <c r="G19" s="10">
        <v>13109</v>
      </c>
      <c r="H19" s="10"/>
      <c r="I19" s="10">
        <v>793140</v>
      </c>
      <c r="J19" s="10">
        <v>15667</v>
      </c>
      <c r="K19" s="12"/>
      <c r="L19" s="7"/>
      <c r="M19" s="23">
        <f t="shared" si="1"/>
        <v>5.0524346101581347E-3</v>
      </c>
      <c r="N19" s="37">
        <f t="shared" si="2"/>
        <v>8.2134467352495001E-4</v>
      </c>
      <c r="O19" s="23">
        <f t="shared" si="3"/>
        <v>8.8921456745032317E-3</v>
      </c>
      <c r="P19" s="23">
        <f t="shared" si="4"/>
        <v>0.12033131510446964</v>
      </c>
      <c r="Q19" s="23">
        <f t="shared" si="0"/>
        <v>1.5437961326773827E-2</v>
      </c>
      <c r="R19" s="23">
        <f t="shared" si="6"/>
        <v>2.9575658333324237</v>
      </c>
      <c r="S19" s="23">
        <f t="shared" si="5"/>
        <v>4.013238901055094E-3</v>
      </c>
    </row>
    <row r="20" spans="1:19">
      <c r="A20" s="9" t="s">
        <v>64</v>
      </c>
      <c r="B20" s="10">
        <v>239267</v>
      </c>
      <c r="C20" s="10">
        <v>11590</v>
      </c>
      <c r="D20" s="12"/>
      <c r="E20" s="10">
        <v>1002</v>
      </c>
      <c r="F20" s="10">
        <v>1313320</v>
      </c>
      <c r="G20" s="10">
        <v>2626</v>
      </c>
      <c r="H20" s="10"/>
      <c r="I20" s="10">
        <v>269610</v>
      </c>
      <c r="J20" s="10">
        <v>5141</v>
      </c>
      <c r="K20" s="12"/>
      <c r="L20" s="7"/>
      <c r="M20" s="23">
        <f t="shared" si="1"/>
        <v>5.7982943829115643E-3</v>
      </c>
      <c r="N20" s="37">
        <f t="shared" si="2"/>
        <v>7.5256817974596183E-4</v>
      </c>
      <c r="O20" s="23">
        <f t="shared" si="3"/>
        <v>1.2188662564394246E-2</v>
      </c>
      <c r="P20" s="23">
        <f t="shared" si="4"/>
        <v>0.12967103372163452</v>
      </c>
      <c r="Q20" s="23">
        <f t="shared" si="0"/>
        <v>1.9753037934512777E-2</v>
      </c>
      <c r="R20" s="23">
        <f t="shared" si="6"/>
        <v>4.1031242072089631</v>
      </c>
      <c r="S20" s="23">
        <f t="shared" si="5"/>
        <v>5.8336462504291735E-3</v>
      </c>
    </row>
    <row r="21" spans="1:19">
      <c r="A21" s="9" t="s">
        <v>20</v>
      </c>
      <c r="B21" s="10">
        <v>215177</v>
      </c>
      <c r="C21" s="10">
        <v>245384</v>
      </c>
      <c r="D21" s="12"/>
      <c r="E21" s="10">
        <v>1549</v>
      </c>
      <c r="F21" s="10">
        <v>722387</v>
      </c>
      <c r="G21" s="12"/>
      <c r="H21" s="10">
        <v>337000</v>
      </c>
      <c r="I21" s="10">
        <v>2164</v>
      </c>
      <c r="J21" s="12"/>
      <c r="K21" s="10">
        <f>405433+27667</f>
        <v>433100</v>
      </c>
      <c r="L21" s="7"/>
      <c r="M21" s="23">
        <f t="shared" si="1"/>
        <v>7.16889725163165E-3</v>
      </c>
      <c r="N21" s="37">
        <f t="shared" si="2"/>
        <v>1.0636446530772024E-3</v>
      </c>
      <c r="O21" s="23">
        <f t="shared" si="3"/>
        <v>1.2052403804041472E-2</v>
      </c>
      <c r="P21" s="23">
        <f t="shared" si="4"/>
        <v>0.13270340372176267</v>
      </c>
      <c r="Q21" s="23">
        <f t="shared" si="0"/>
        <v>1.7845755767914837E-2</v>
      </c>
      <c r="R21" s="23">
        <f t="shared" si="6"/>
        <v>4.1021614714606693</v>
      </c>
      <c r="S21" s="23">
        <f t="shared" si="5"/>
        <v>4.703293142268204E-3</v>
      </c>
    </row>
    <row r="22" spans="1:19">
      <c r="A22" s="9" t="s">
        <v>27</v>
      </c>
      <c r="B22" s="10"/>
      <c r="C22" s="10"/>
      <c r="D22" s="12"/>
      <c r="E22" s="10">
        <v>27206</v>
      </c>
      <c r="F22" s="10">
        <v>3272</v>
      </c>
      <c r="G22" s="10">
        <v>16975</v>
      </c>
      <c r="H22" s="10"/>
      <c r="I22" s="10">
        <v>10089</v>
      </c>
      <c r="J22" s="12"/>
      <c r="K22" s="10"/>
      <c r="L22" s="7"/>
      <c r="M22" s="23">
        <f>(B22*B$73+C22*C$73+E22*E$73+D22*D$73+E22*E$73+H22*H$73+I22*I$73+J22*J$73+F22*F$73+G22*G$73+K22*K$73)/SUM(B22:K22)</f>
        <v>5.3926694414514614E-3</v>
      </c>
      <c r="N22" s="37">
        <f t="shared" si="2"/>
        <v>3.4186498557575338E-4</v>
      </c>
      <c r="O22" s="23">
        <f t="shared" si="3"/>
        <v>9.9671740641618309E-3</v>
      </c>
      <c r="P22" s="23">
        <f t="shared" si="4"/>
        <v>0.11431612830628063</v>
      </c>
      <c r="Q22" s="23">
        <f t="shared" si="0"/>
        <v>1.4162655682952989E-2</v>
      </c>
      <c r="R22" s="23">
        <f t="shared" si="6"/>
        <v>1.851941161305152</v>
      </c>
      <c r="S22" s="23">
        <f t="shared" si="5"/>
        <v>4.0312880225936839E-3</v>
      </c>
    </row>
    <row r="23" spans="1:19">
      <c r="A23" s="9" t="s">
        <v>32</v>
      </c>
      <c r="B23" s="10">
        <v>166713</v>
      </c>
      <c r="C23" s="10">
        <v>4895</v>
      </c>
      <c r="D23" s="12"/>
      <c r="E23" s="10">
        <v>2338</v>
      </c>
      <c r="F23" s="10">
        <v>460137</v>
      </c>
      <c r="G23" s="10">
        <v>34288</v>
      </c>
      <c r="H23" s="10"/>
      <c r="I23" s="10">
        <v>40576</v>
      </c>
      <c r="J23" s="12"/>
      <c r="K23" s="12"/>
      <c r="L23" s="7"/>
      <c r="M23" s="23">
        <f t="shared" si="1"/>
        <v>5.8399580927770336E-3</v>
      </c>
      <c r="N23" s="37">
        <f t="shared" si="2"/>
        <v>7.7169140288343128E-4</v>
      </c>
      <c r="O23" s="23">
        <f t="shared" si="3"/>
        <v>1.1885235433678396E-2</v>
      </c>
      <c r="P23" s="23">
        <f t="shared" si="4"/>
        <v>0.13565394437101788</v>
      </c>
      <c r="Q23" s="23">
        <f t="shared" si="0"/>
        <v>1.8870743853802493E-2</v>
      </c>
      <c r="R23" s="23">
        <f t="shared" si="6"/>
        <v>4.0050081428571502</v>
      </c>
      <c r="S23" s="23">
        <f t="shared" si="5"/>
        <v>5.6125092907339065E-3</v>
      </c>
    </row>
    <row r="24" spans="1:19">
      <c r="A24" s="9" t="s">
        <v>1</v>
      </c>
      <c r="B24" s="10"/>
      <c r="C24" s="10"/>
      <c r="D24" s="12"/>
      <c r="E24" s="10"/>
      <c r="F24" s="10">
        <v>2432</v>
      </c>
      <c r="G24" s="12"/>
      <c r="H24" s="10"/>
      <c r="I24" s="10">
        <v>9921</v>
      </c>
      <c r="J24" s="12"/>
      <c r="K24" s="12"/>
      <c r="L24" s="7"/>
      <c r="M24" s="23">
        <f t="shared" si="1"/>
        <v>2.8099700477616772E-3</v>
      </c>
      <c r="N24" s="37">
        <f t="shared" si="2"/>
        <v>3.5812515178499147E-4</v>
      </c>
      <c r="O24" s="23">
        <f t="shared" si="3"/>
        <v>9.6998138104104261E-3</v>
      </c>
      <c r="P24" s="23">
        <f t="shared" si="4"/>
        <v>6.754149437383633E-2</v>
      </c>
      <c r="Q24" s="23">
        <f t="shared" si="0"/>
        <v>1.3346309320064349E-2</v>
      </c>
      <c r="R24" s="23">
        <f t="shared" si="6"/>
        <v>1.7372725077291051</v>
      </c>
      <c r="S24" s="23">
        <f t="shared" si="5"/>
        <v>4.079210448707178E-3</v>
      </c>
    </row>
    <row r="25" spans="1:19">
      <c r="A25" s="9" t="s">
        <v>63</v>
      </c>
      <c r="B25" s="10">
        <v>523153</v>
      </c>
      <c r="C25" s="12">
        <v>658</v>
      </c>
      <c r="D25" s="12"/>
      <c r="E25" s="10">
        <v>55046</v>
      </c>
      <c r="F25" s="10">
        <v>2350668</v>
      </c>
      <c r="G25" s="10">
        <v>12953</v>
      </c>
      <c r="H25" s="10"/>
      <c r="I25" s="10">
        <v>698595</v>
      </c>
      <c r="J25" s="10">
        <v>2174</v>
      </c>
      <c r="K25" s="12"/>
      <c r="L25" s="7"/>
      <c r="M25" s="23">
        <f t="shared" si="1"/>
        <v>5.5313892936712777E-3</v>
      </c>
      <c r="N25" s="37">
        <f t="shared" si="2"/>
        <v>7.1887800086022167E-4</v>
      </c>
      <c r="O25" s="23">
        <f t="shared" si="3"/>
        <v>1.1821985009525842E-2</v>
      </c>
      <c r="P25" s="23">
        <f t="shared" si="4"/>
        <v>0.12434796270058</v>
      </c>
      <c r="Q25" s="23">
        <f t="shared" si="0"/>
        <v>1.8866505756575593E-2</v>
      </c>
      <c r="R25" s="23">
        <f t="shared" si="6"/>
        <v>3.8306125479524762</v>
      </c>
      <c r="S25" s="23">
        <f t="shared" si="5"/>
        <v>5.6071385933501305E-3</v>
      </c>
    </row>
    <row r="26" spans="1:19">
      <c r="A26" s="9" t="s">
        <v>21</v>
      </c>
      <c r="B26" s="10">
        <v>1718565</v>
      </c>
      <c r="C26" s="12">
        <v>36</v>
      </c>
      <c r="D26" s="12"/>
      <c r="E26" s="10">
        <v>180942</v>
      </c>
      <c r="F26" s="10">
        <v>7801001</v>
      </c>
      <c r="G26" s="10">
        <v>108268</v>
      </c>
      <c r="H26" s="10"/>
      <c r="I26" s="10">
        <v>944775</v>
      </c>
      <c r="J26" s="10">
        <v>43585</v>
      </c>
      <c r="K26" s="12"/>
      <c r="L26" s="7"/>
      <c r="M26" s="23">
        <f t="shared" si="1"/>
        <v>5.9987906819489395E-3</v>
      </c>
      <c r="N26" s="37">
        <f t="shared" si="2"/>
        <v>7.7555606921886583E-4</v>
      </c>
      <c r="O26" s="23">
        <f t="shared" si="3"/>
        <v>1.2236093016764017E-2</v>
      </c>
      <c r="P26" s="23">
        <f t="shared" si="4"/>
        <v>0.13432385869651797</v>
      </c>
      <c r="Q26" s="23">
        <f t="shared" si="0"/>
        <v>1.9846831160180267E-2</v>
      </c>
      <c r="R26" s="23">
        <f t="shared" si="6"/>
        <v>4.1898639791755059</v>
      </c>
      <c r="S26" s="23">
        <f t="shared" si="5"/>
        <v>5.8802119866359082E-3</v>
      </c>
    </row>
    <row r="27" spans="1:19">
      <c r="A27" s="9" t="s">
        <v>7</v>
      </c>
      <c r="B27" s="10">
        <v>331767</v>
      </c>
      <c r="C27" s="10">
        <v>116901</v>
      </c>
      <c r="D27" s="12"/>
      <c r="E27" s="10">
        <v>1345</v>
      </c>
      <c r="F27" s="10">
        <v>873618</v>
      </c>
      <c r="G27" s="12"/>
      <c r="H27" s="10">
        <v>185000</v>
      </c>
      <c r="I27" s="10">
        <v>3931</v>
      </c>
      <c r="J27" s="10">
        <v>1147</v>
      </c>
      <c r="K27" s="12"/>
      <c r="L27" s="7"/>
      <c r="M27" s="23">
        <f t="shared" si="1"/>
        <v>6.3669155762435181E-3</v>
      </c>
      <c r="N27" s="37">
        <f t="shared" si="2"/>
        <v>9.425852888501026E-4</v>
      </c>
      <c r="O27" s="23">
        <f t="shared" si="3"/>
        <v>1.1053075713363666E-2</v>
      </c>
      <c r="P27" s="23">
        <f t="shared" si="4"/>
        <v>0.13112615912966097</v>
      </c>
      <c r="Q27" s="23">
        <f t="shared" si="0"/>
        <v>1.8668171544375844E-2</v>
      </c>
      <c r="R27" s="23">
        <f t="shared" si="6"/>
        <v>4.0870139800837926</v>
      </c>
      <c r="S27" s="23">
        <f t="shared" si="5"/>
        <v>5.1380692539147203E-3</v>
      </c>
    </row>
    <row r="28" spans="1:19">
      <c r="A28" s="9" t="s">
        <v>22</v>
      </c>
      <c r="B28" s="10">
        <v>881227</v>
      </c>
      <c r="C28" s="10">
        <v>105483</v>
      </c>
      <c r="D28" s="12"/>
      <c r="E28" s="10">
        <v>7894</v>
      </c>
      <c r="F28" s="10">
        <v>3256195</v>
      </c>
      <c r="G28" s="10">
        <v>1531</v>
      </c>
      <c r="H28" s="10">
        <v>179300</v>
      </c>
      <c r="I28" s="10">
        <v>295021</v>
      </c>
      <c r="J28" s="10">
        <v>176138</v>
      </c>
      <c r="K28" s="12"/>
      <c r="L28" s="7"/>
      <c r="M28" s="23">
        <f t="shared" si="1"/>
        <v>6.0615406465585192E-3</v>
      </c>
      <c r="N28" s="37">
        <f t="shared" si="2"/>
        <v>8.2957750578293297E-4</v>
      </c>
      <c r="O28" s="23">
        <f t="shared" si="3"/>
        <v>1.1882201492864571E-2</v>
      </c>
      <c r="P28" s="23">
        <f t="shared" si="4"/>
        <v>0.13313485137439118</v>
      </c>
      <c r="Q28" s="23">
        <f t="shared" si="0"/>
        <v>1.9418268122811392E-2</v>
      </c>
      <c r="R28" s="23">
        <f t="shared" si="6"/>
        <v>4.1316305901474637</v>
      </c>
      <c r="S28" s="23">
        <f t="shared" si="5"/>
        <v>5.6483978846331353E-3</v>
      </c>
    </row>
    <row r="29" spans="1:19">
      <c r="A29" s="9" t="s">
        <v>62</v>
      </c>
      <c r="B29" s="10">
        <v>5059916</v>
      </c>
      <c r="C29" s="12"/>
      <c r="D29" s="10">
        <v>37188</v>
      </c>
      <c r="E29" s="10">
        <v>34633</v>
      </c>
      <c r="F29" s="10">
        <v>38002</v>
      </c>
      <c r="G29" s="10">
        <v>718551</v>
      </c>
      <c r="H29" s="10"/>
      <c r="I29" s="10">
        <v>1868756</v>
      </c>
      <c r="J29" s="10">
        <v>31008</v>
      </c>
      <c r="K29" s="12"/>
      <c r="L29" s="7"/>
      <c r="M29" s="23">
        <f t="shared" si="1"/>
        <v>3.5854158439322589E-3</v>
      </c>
      <c r="N29" s="37">
        <f t="shared" si="2"/>
        <v>6.3164952053491148E-4</v>
      </c>
      <c r="O29" s="23">
        <f t="shared" si="3"/>
        <v>8.1470566601104712E-3</v>
      </c>
      <c r="P29" s="23">
        <f t="shared" si="4"/>
        <v>0.10427273056850915</v>
      </c>
      <c r="Q29" s="23">
        <f t="shared" si="0"/>
        <v>1.0258544377461454E-2</v>
      </c>
      <c r="R29" s="23">
        <f t="shared" si="6"/>
        <v>1.8124661926099737</v>
      </c>
      <c r="S29" s="23">
        <f t="shared" si="5"/>
        <v>3.3372470589243699E-3</v>
      </c>
    </row>
    <row r="30" spans="1:19">
      <c r="A30" s="9" t="s">
        <v>23</v>
      </c>
      <c r="B30" s="10">
        <v>1964302</v>
      </c>
      <c r="C30" s="10">
        <v>236607</v>
      </c>
      <c r="D30" s="12">
        <v>206</v>
      </c>
      <c r="E30" s="10">
        <v>35108</v>
      </c>
      <c r="F30" s="10">
        <v>9192656</v>
      </c>
      <c r="G30" s="10">
        <v>1777</v>
      </c>
      <c r="H30" s="10"/>
      <c r="I30" s="10">
        <v>1085921</v>
      </c>
      <c r="J30" s="10">
        <v>3769</v>
      </c>
      <c r="K30" s="12"/>
      <c r="L30" s="7"/>
      <c r="M30" s="23">
        <f t="shared" si="1"/>
        <v>6.0307868664332444E-3</v>
      </c>
      <c r="N30" s="37">
        <f t="shared" si="2"/>
        <v>7.8970254855576676E-4</v>
      </c>
      <c r="O30" s="23">
        <f t="shared" si="3"/>
        <v>1.2230194370427142E-2</v>
      </c>
      <c r="P30" s="23">
        <f t="shared" si="4"/>
        <v>0.13434445326790492</v>
      </c>
      <c r="Q30" s="23">
        <f t="shared" si="0"/>
        <v>2.015512106639205E-2</v>
      </c>
      <c r="R30" s="23">
        <f t="shared" si="6"/>
        <v>4.2536060636951065</v>
      </c>
      <c r="S30" s="23">
        <f t="shared" si="5"/>
        <v>5.8924307878972793E-3</v>
      </c>
    </row>
    <row r="31" spans="1:19">
      <c r="A31" s="9" t="s">
        <v>61</v>
      </c>
      <c r="B31" s="10">
        <v>12826</v>
      </c>
      <c r="C31" s="12"/>
      <c r="D31" s="12"/>
      <c r="E31" s="12"/>
      <c r="F31" s="12">
        <v>473</v>
      </c>
      <c r="G31" s="10">
        <v>1062</v>
      </c>
      <c r="H31" s="10"/>
      <c r="I31" s="10">
        <v>274004</v>
      </c>
      <c r="J31" s="10">
        <v>6498</v>
      </c>
      <c r="K31" s="12"/>
      <c r="L31" s="7"/>
      <c r="M31" s="23">
        <f t="shared" si="1"/>
        <v>1.9861704249091953E-3</v>
      </c>
      <c r="N31" s="37">
        <f t="shared" si="2"/>
        <v>2.7641128252781799E-4</v>
      </c>
      <c r="O31" s="23">
        <f t="shared" si="3"/>
        <v>8.7075563227668445E-3</v>
      </c>
      <c r="P31" s="23">
        <f t="shared" si="4"/>
        <v>5.2904974445759562E-2</v>
      </c>
      <c r="Q31" s="23">
        <f t="shared" si="0"/>
        <v>1.0977754380121099E-2</v>
      </c>
      <c r="R31" s="23">
        <f t="shared" si="6"/>
        <v>1.0004228039319532</v>
      </c>
      <c r="S31" s="23">
        <f t="shared" si="5"/>
        <v>3.4322899621107308E-3</v>
      </c>
    </row>
    <row r="32" spans="1:19">
      <c r="A32" s="9" t="s">
        <v>2</v>
      </c>
      <c r="B32" s="10"/>
      <c r="C32" s="12"/>
      <c r="D32" s="12"/>
      <c r="E32" s="12"/>
      <c r="F32" s="12">
        <v>226</v>
      </c>
      <c r="G32" s="12"/>
      <c r="H32" s="10"/>
      <c r="I32" s="10">
        <v>5373</v>
      </c>
      <c r="J32" s="10"/>
      <c r="K32" s="12"/>
      <c r="L32" s="7"/>
      <c r="M32" s="23">
        <f t="shared" si="1"/>
        <v>2.0070691194856221E-3</v>
      </c>
      <c r="N32" s="37">
        <f t="shared" si="2"/>
        <v>2.6421861046615461E-4</v>
      </c>
      <c r="O32" s="23">
        <f t="shared" si="3"/>
        <v>8.8890873370244695E-3</v>
      </c>
      <c r="P32" s="23">
        <f t="shared" si="4"/>
        <v>5.1688505090194681E-2</v>
      </c>
      <c r="Q32" s="23">
        <f t="shared" si="0"/>
        <v>1.1385655093848307E-2</v>
      </c>
      <c r="R32" s="23">
        <f t="shared" si="6"/>
        <v>1.0737362966060209</v>
      </c>
      <c r="S32" s="23">
        <f t="shared" si="5"/>
        <v>3.5392551292693563E-3</v>
      </c>
    </row>
    <row r="33" spans="1:19">
      <c r="A33" s="9" t="s">
        <v>60</v>
      </c>
      <c r="B33" s="10">
        <v>27991</v>
      </c>
      <c r="C33" s="12">
        <v>614</v>
      </c>
      <c r="D33" s="12"/>
      <c r="E33" s="10">
        <v>1234</v>
      </c>
      <c r="F33" s="10">
        <v>81556</v>
      </c>
      <c r="G33" s="10">
        <v>1947</v>
      </c>
      <c r="H33" s="10"/>
      <c r="I33" s="10">
        <v>20310</v>
      </c>
      <c r="J33" s="12">
        <v>71</v>
      </c>
      <c r="K33" s="12"/>
      <c r="L33" s="7"/>
      <c r="M33" s="23">
        <f t="shared" si="1"/>
        <v>5.5171298879026056E-3</v>
      </c>
      <c r="N33" s="37">
        <f t="shared" si="2"/>
        <v>7.3773845935254227E-4</v>
      </c>
      <c r="O33" s="23">
        <f t="shared" si="3"/>
        <v>1.1584548581769778E-2</v>
      </c>
      <c r="P33" s="23">
        <f t="shared" si="4"/>
        <v>0.12647085449025225</v>
      </c>
      <c r="Q33" s="23">
        <f t="shared" si="0"/>
        <v>1.8382838981060145E-2</v>
      </c>
      <c r="R33" s="23">
        <f t="shared" si="6"/>
        <v>3.776120779054899</v>
      </c>
      <c r="S33" s="23">
        <f t="shared" si="5"/>
        <v>5.4711045876859174E-3</v>
      </c>
    </row>
    <row r="34" spans="1:19">
      <c r="A34" s="9" t="s">
        <v>59</v>
      </c>
      <c r="B34" s="10">
        <v>302958</v>
      </c>
      <c r="C34" s="10">
        <v>73048</v>
      </c>
      <c r="D34" s="12"/>
      <c r="E34" s="12"/>
      <c r="F34" s="10">
        <v>53851</v>
      </c>
      <c r="G34" s="12">
        <v>824</v>
      </c>
      <c r="H34" s="10"/>
      <c r="I34" s="10">
        <v>236103</v>
      </c>
      <c r="J34" s="12">
        <v>741</v>
      </c>
      <c r="K34" s="12"/>
      <c r="L34" s="7"/>
      <c r="M34" s="23">
        <f t="shared" si="1"/>
        <v>3.7745918879442718E-3</v>
      </c>
      <c r="N34" s="37">
        <f t="shared" si="2"/>
        <v>6.3673946294146282E-4</v>
      </c>
      <c r="O34" s="23">
        <f t="shared" si="3"/>
        <v>8.3030945507658882E-3</v>
      </c>
      <c r="P34" s="23">
        <f t="shared" si="4"/>
        <v>9.4688739193288629E-2</v>
      </c>
      <c r="Q34" s="23">
        <f t="shared" si="0"/>
        <v>1.2823147476561488E-2</v>
      </c>
      <c r="R34" s="23">
        <f t="shared" si="6"/>
        <v>2.057390643993668</v>
      </c>
      <c r="S34" s="23">
        <f t="shared" si="5"/>
        <v>3.5294325413672018E-3</v>
      </c>
    </row>
    <row r="35" spans="1:19">
      <c r="A35" s="9" t="s">
        <v>58</v>
      </c>
      <c r="B35" s="10">
        <v>84955</v>
      </c>
      <c r="C35" s="12">
        <v>717</v>
      </c>
      <c r="D35" s="12"/>
      <c r="E35" s="10">
        <v>60999</v>
      </c>
      <c r="F35" s="10">
        <v>551629</v>
      </c>
      <c r="G35" s="10">
        <v>10793</v>
      </c>
      <c r="H35" s="10"/>
      <c r="I35" s="10">
        <v>450144</v>
      </c>
      <c r="J35" s="10">
        <v>2420</v>
      </c>
      <c r="K35" s="12"/>
      <c r="L35" s="7"/>
      <c r="M35" s="23">
        <f t="shared" si="1"/>
        <v>4.7197470725007466E-3</v>
      </c>
      <c r="N35" s="37">
        <f t="shared" si="2"/>
        <v>5.823210810075607E-4</v>
      </c>
      <c r="O35" s="23">
        <f t="shared" si="3"/>
        <v>1.1053375553196854E-2</v>
      </c>
      <c r="P35" s="23">
        <f t="shared" si="4"/>
        <v>0.1052288218854619</v>
      </c>
      <c r="Q35" s="23">
        <f t="shared" si="0"/>
        <v>1.7022648342237191E-2</v>
      </c>
      <c r="R35" s="23">
        <f t="shared" si="6"/>
        <v>3.0655500282231345</v>
      </c>
      <c r="S35" s="23">
        <f t="shared" si="5"/>
        <v>5.0619008896522263E-3</v>
      </c>
    </row>
    <row r="36" spans="1:19">
      <c r="A36" s="9" t="s">
        <v>76</v>
      </c>
      <c r="B36" s="10">
        <v>511713</v>
      </c>
      <c r="C36" s="10">
        <v>8635</v>
      </c>
      <c r="D36" s="12"/>
      <c r="E36" s="10">
        <v>14337</v>
      </c>
      <c r="F36" s="10">
        <v>965426</v>
      </c>
      <c r="G36" s="10">
        <v>13728</v>
      </c>
      <c r="H36" s="10"/>
      <c r="I36" s="10">
        <v>10322</v>
      </c>
      <c r="J36" s="12">
        <v>784</v>
      </c>
      <c r="K36" s="12"/>
      <c r="L36" s="7"/>
      <c r="M36" s="23">
        <f t="shared" si="1"/>
        <v>5.916469669397911E-3</v>
      </c>
      <c r="N36" s="37">
        <f t="shared" si="2"/>
        <v>8.308681722947385E-4</v>
      </c>
      <c r="O36" s="23">
        <f t="shared" si="3"/>
        <v>1.1496296302489595E-2</v>
      </c>
      <c r="P36" s="23">
        <f t="shared" si="4"/>
        <v>0.13710971891445264</v>
      </c>
      <c r="Q36" s="23">
        <f t="shared" ref="Q36:Q52" si="7">(H36*H$77+B36*B$77+I36*I$77+C36*C$77+D36*D$77+E36*E$77+F36*F$77+G36*G$77+J36*J$77+K36*K$77)/SUM(B36:K36)</f>
        <v>1.8526427616445868E-2</v>
      </c>
      <c r="R36" s="23">
        <f t="shared" si="6"/>
        <v>4.0249872533636397</v>
      </c>
      <c r="S36" s="23">
        <f t="shared" si="5"/>
        <v>5.5209900267528932E-3</v>
      </c>
    </row>
    <row r="37" spans="1:19">
      <c r="A37" s="9" t="s">
        <v>3</v>
      </c>
      <c r="B37" s="10">
        <v>8428462</v>
      </c>
      <c r="C37" s="12"/>
      <c r="D37" s="10">
        <v>39531</v>
      </c>
      <c r="E37" s="10">
        <v>257021</v>
      </c>
      <c r="F37" s="10">
        <v>2348171</v>
      </c>
      <c r="G37" s="10">
        <v>1384689</v>
      </c>
      <c r="H37" s="10"/>
      <c r="I37" s="10">
        <v>1457604</v>
      </c>
      <c r="J37" s="12">
        <v>379</v>
      </c>
      <c r="K37" s="12"/>
      <c r="L37" s="7"/>
      <c r="M37" s="23">
        <f t="shared" si="1"/>
        <v>4.4048643026440995E-3</v>
      </c>
      <c r="N37" s="37">
        <f t="shared" si="2"/>
        <v>7.03180514502269E-4</v>
      </c>
      <c r="O37" s="23">
        <f t="shared" si="3"/>
        <v>9.0694044398415431E-3</v>
      </c>
      <c r="P37" s="23">
        <f t="shared" si="4"/>
        <v>0.11904368631662426</v>
      </c>
      <c r="Q37" s="23">
        <f t="shared" si="7"/>
        <v>1.2417781433227264E-2</v>
      </c>
      <c r="R37" s="23">
        <f t="shared" si="6"/>
        <v>2.4659837113827412</v>
      </c>
      <c r="S37" s="23">
        <f t="shared" si="5"/>
        <v>3.9169587112193654E-3</v>
      </c>
    </row>
    <row r="38" spans="1:19">
      <c r="A38" s="9" t="s">
        <v>57</v>
      </c>
      <c r="B38" s="10">
        <v>732106</v>
      </c>
      <c r="C38" s="10">
        <v>1203</v>
      </c>
      <c r="D38" s="12"/>
      <c r="E38" s="10">
        <v>46348</v>
      </c>
      <c r="F38" s="10">
        <v>3606246</v>
      </c>
      <c r="G38" s="10">
        <v>2994</v>
      </c>
      <c r="H38" s="10"/>
      <c r="I38" s="10">
        <v>437658</v>
      </c>
      <c r="J38" s="10">
        <v>1081</v>
      </c>
      <c r="K38" s="12"/>
      <c r="L38" s="7"/>
      <c r="M38" s="23">
        <f t="shared" si="1"/>
        <v>6.0339278489513291E-3</v>
      </c>
      <c r="N38" s="37">
        <f t="shared" si="2"/>
        <v>7.8392339231872499E-4</v>
      </c>
      <c r="O38" s="23">
        <f t="shared" si="3"/>
        <v>1.2326726144017485E-2</v>
      </c>
      <c r="P38" s="23">
        <f t="shared" si="4"/>
        <v>0.13454005379444517</v>
      </c>
      <c r="Q38" s="23">
        <f t="shared" si="7"/>
        <v>2.0100845972956829E-2</v>
      </c>
      <c r="R38" s="23">
        <f t="shared" si="6"/>
        <v>4.2637187135152663</v>
      </c>
      <c r="S38" s="23">
        <f t="shared" si="5"/>
        <v>5.9511658191433612E-3</v>
      </c>
    </row>
    <row r="39" spans="1:19">
      <c r="A39" s="9" t="s">
        <v>24</v>
      </c>
      <c r="B39" s="10">
        <v>3421098</v>
      </c>
      <c r="C39" s="10">
        <v>219883</v>
      </c>
      <c r="D39" s="12"/>
      <c r="E39" s="10">
        <v>14816</v>
      </c>
      <c r="F39" s="10">
        <v>270838</v>
      </c>
      <c r="G39" s="10">
        <v>5038</v>
      </c>
      <c r="H39" s="10"/>
      <c r="I39" s="10">
        <v>334990</v>
      </c>
      <c r="J39" s="10">
        <v>8783</v>
      </c>
      <c r="K39" s="12"/>
      <c r="L39" s="7"/>
      <c r="M39" s="23">
        <f t="shared" si="1"/>
        <v>4.2245421939605832E-3</v>
      </c>
      <c r="N39" s="37">
        <f t="shared" si="2"/>
        <v>8.0402727808981801E-4</v>
      </c>
      <c r="O39" s="23">
        <f t="shared" si="3"/>
        <v>7.7834182620947602E-3</v>
      </c>
      <c r="P39" s="23">
        <f t="shared" si="4"/>
        <v>0.11367840581777899</v>
      </c>
      <c r="Q39" s="23">
        <f t="shared" si="7"/>
        <v>1.1406279106715773E-2</v>
      </c>
      <c r="R39" s="23">
        <f t="shared" si="6"/>
        <v>2.2711880928066761</v>
      </c>
      <c r="S39" s="23">
        <f t="shared" si="5"/>
        <v>3.4285222246009136E-3</v>
      </c>
    </row>
    <row r="40" spans="1:19">
      <c r="A40" s="9" t="s">
        <v>56</v>
      </c>
      <c r="B40" s="10">
        <v>855052</v>
      </c>
      <c r="C40" s="12">
        <v>87</v>
      </c>
      <c r="D40" s="12"/>
      <c r="E40" s="10">
        <v>17958</v>
      </c>
      <c r="F40" s="10">
        <v>35271</v>
      </c>
      <c r="G40" s="10">
        <v>53216</v>
      </c>
      <c r="H40" s="10"/>
      <c r="I40" s="10">
        <v>428812</v>
      </c>
      <c r="J40" s="10">
        <v>556876</v>
      </c>
      <c r="K40" s="12"/>
      <c r="L40" s="7"/>
      <c r="M40" s="23">
        <f t="shared" si="1"/>
        <v>3.9163865577073976E-3</v>
      </c>
      <c r="N40" s="37">
        <f t="shared" si="2"/>
        <v>6.3903195341996383E-4</v>
      </c>
      <c r="O40" s="23">
        <f t="shared" si="3"/>
        <v>9.1235181654129461E-3</v>
      </c>
      <c r="P40" s="23">
        <f t="shared" si="4"/>
        <v>0.10587548267525031</v>
      </c>
      <c r="Q40" s="23">
        <f t="shared" si="7"/>
        <v>1.2299349837080082E-2</v>
      </c>
      <c r="R40" s="23">
        <f t="shared" si="6"/>
        <v>1.9982893702812545</v>
      </c>
      <c r="S40" s="23">
        <f t="shared" si="5"/>
        <v>3.8319076418201104E-3</v>
      </c>
    </row>
    <row r="41" spans="1:19">
      <c r="A41" s="9" t="s">
        <v>6</v>
      </c>
      <c r="B41" s="10">
        <v>152528</v>
      </c>
      <c r="C41" s="10">
        <v>3155</v>
      </c>
      <c r="D41" s="12"/>
      <c r="E41" s="10">
        <v>79943</v>
      </c>
      <c r="F41" s="10">
        <v>980753</v>
      </c>
      <c r="G41" s="10">
        <v>41986</v>
      </c>
      <c r="H41" s="10"/>
      <c r="I41" s="10">
        <v>475873</v>
      </c>
      <c r="J41" s="12">
        <v>883</v>
      </c>
      <c r="K41" s="12"/>
      <c r="L41" s="7"/>
      <c r="M41" s="23">
        <f t="shared" si="1"/>
        <v>5.2208593550536241E-3</v>
      </c>
      <c r="N41" s="37">
        <f t="shared" si="2"/>
        <v>6.4187025573432641E-4</v>
      </c>
      <c r="O41" s="23">
        <f t="shared" si="3"/>
        <v>1.1557028204373068E-2</v>
      </c>
      <c r="P41" s="23">
        <f t="shared" si="4"/>
        <v>0.1165926716638206</v>
      </c>
      <c r="Q41" s="23">
        <f t="shared" si="7"/>
        <v>1.8125389731711818E-2</v>
      </c>
      <c r="R41" s="23">
        <f t="shared" si="6"/>
        <v>3.4753826155175798</v>
      </c>
      <c r="S41" s="23">
        <f t="shared" si="5"/>
        <v>5.3712877647822148E-3</v>
      </c>
    </row>
    <row r="42" spans="1:19">
      <c r="A42" s="9" t="s">
        <v>77</v>
      </c>
      <c r="B42" s="10">
        <v>136766</v>
      </c>
      <c r="C42" s="10">
        <v>5996</v>
      </c>
      <c r="D42" s="12"/>
      <c r="E42" s="10">
        <v>13279</v>
      </c>
      <c r="F42" s="10">
        <v>372558</v>
      </c>
      <c r="G42" s="12">
        <v>747</v>
      </c>
      <c r="H42" s="10"/>
      <c r="I42" s="10">
        <v>4070</v>
      </c>
      <c r="J42" s="10">
        <v>1033</v>
      </c>
      <c r="K42" s="12"/>
      <c r="L42" s="7"/>
      <c r="M42" s="23">
        <f t="shared" si="1"/>
        <v>6.1576059549180552E-3</v>
      </c>
      <c r="N42" s="37">
        <f t="shared" si="2"/>
        <v>8.2925810507644335E-4</v>
      </c>
      <c r="O42" s="23">
        <f t="shared" si="3"/>
        <v>1.1903612954650492E-2</v>
      </c>
      <c r="P42" s="23">
        <f t="shared" si="4"/>
        <v>0.13861630100346337</v>
      </c>
      <c r="Q42" s="23">
        <f t="shared" si="7"/>
        <v>1.9580093713120438E-2</v>
      </c>
      <c r="R42" s="23">
        <f t="shared" si="6"/>
        <v>4.2217706423068462</v>
      </c>
      <c r="S42" s="23">
        <f t="shared" si="5"/>
        <v>5.7635090921357348E-3</v>
      </c>
    </row>
    <row r="43" spans="1:19">
      <c r="A43" s="9" t="s">
        <v>4</v>
      </c>
      <c r="B43" s="10">
        <v>3341778</v>
      </c>
      <c r="C43" s="10">
        <v>129413</v>
      </c>
      <c r="D43" s="10">
        <v>9641</v>
      </c>
      <c r="E43" s="10">
        <v>124743</v>
      </c>
      <c r="F43" s="10">
        <v>4455368</v>
      </c>
      <c r="G43" s="10">
        <v>28761</v>
      </c>
      <c r="H43" s="10"/>
      <c r="I43" s="10">
        <v>1996599</v>
      </c>
      <c r="J43" s="10">
        <v>10784</v>
      </c>
      <c r="K43" s="12"/>
      <c r="L43" s="7"/>
      <c r="M43" s="23">
        <f t="shared" si="1"/>
        <v>4.9588134335180039E-3</v>
      </c>
      <c r="N43" s="37">
        <f t="shared" si="2"/>
        <v>7.1948485092779735E-4</v>
      </c>
      <c r="O43" s="23">
        <f t="shared" si="3"/>
        <v>1.0476366625839709E-2</v>
      </c>
      <c r="P43" s="23">
        <f t="shared" si="4"/>
        <v>0.11741564909513012</v>
      </c>
      <c r="Q43" s="23">
        <f t="shared" si="7"/>
        <v>1.6238711968720652E-2</v>
      </c>
      <c r="R43" s="23">
        <f t="shared" si="6"/>
        <v>3.2212685135654784</v>
      </c>
      <c r="S43" s="23">
        <f t="shared" si="5"/>
        <v>4.8565130526207097E-3</v>
      </c>
    </row>
    <row r="44" spans="1:19">
      <c r="A44" s="9" t="s">
        <v>55</v>
      </c>
      <c r="B44" s="10">
        <v>254944</v>
      </c>
      <c r="C44" s="10">
        <v>10107</v>
      </c>
      <c r="D44" s="12"/>
      <c r="E44" s="10">
        <v>1679</v>
      </c>
      <c r="F44" s="10">
        <v>780608</v>
      </c>
      <c r="G44" s="12">
        <v>997</v>
      </c>
      <c r="H44" s="10">
        <v>2300</v>
      </c>
      <c r="I44" s="10">
        <v>20074</v>
      </c>
      <c r="J44" s="12">
        <v>510</v>
      </c>
      <c r="K44" s="12"/>
      <c r="L44" s="7"/>
      <c r="M44" s="23">
        <f t="shared" si="1"/>
        <v>6.1518852354187142E-3</v>
      </c>
      <c r="N44" s="37">
        <f t="shared" si="2"/>
        <v>8.3299582531676534E-4</v>
      </c>
      <c r="O44" s="23">
        <f t="shared" si="3"/>
        <v>1.2096191866462413E-2</v>
      </c>
      <c r="P44" s="23">
        <f t="shared" si="4"/>
        <v>0.1389487624052598</v>
      </c>
      <c r="Q44" s="23">
        <f t="shared" si="7"/>
        <v>1.9847702268326349E-2</v>
      </c>
      <c r="R44" s="23">
        <f t="shared" si="6"/>
        <v>4.3111640949007528</v>
      </c>
      <c r="S44" s="23">
        <f t="shared" si="5"/>
        <v>5.8578608777243709E-3</v>
      </c>
    </row>
    <row r="45" spans="1:19">
      <c r="A45" s="9" t="s">
        <v>25</v>
      </c>
      <c r="B45" s="10">
        <v>3844241</v>
      </c>
      <c r="C45" s="10">
        <v>2427580</v>
      </c>
      <c r="D45" s="12"/>
      <c r="E45" s="10">
        <v>92653</v>
      </c>
      <c r="F45" s="10">
        <v>1963640</v>
      </c>
      <c r="G45" s="10">
        <v>2090</v>
      </c>
      <c r="H45" s="10">
        <v>145000</v>
      </c>
      <c r="I45" s="10">
        <v>153763</v>
      </c>
      <c r="J45" s="10">
        <v>13397</v>
      </c>
      <c r="K45" s="12"/>
      <c r="L45" s="7"/>
      <c r="M45" s="23">
        <f t="shared" si="1"/>
        <v>5.4732662828133596E-3</v>
      </c>
      <c r="N45" s="37">
        <f t="shared" si="2"/>
        <v>8.5369286516976132E-4</v>
      </c>
      <c r="O45" s="23">
        <f t="shared" si="3"/>
        <v>8.8202867028049255E-3</v>
      </c>
      <c r="P45" s="23">
        <f t="shared" si="4"/>
        <v>0.1211111956022681</v>
      </c>
      <c r="Q45" s="23">
        <f t="shared" si="7"/>
        <v>1.7028822412871333E-2</v>
      </c>
      <c r="R45" s="23">
        <f t="shared" si="6"/>
        <v>3.1227252568511163</v>
      </c>
      <c r="S45" s="23">
        <f t="shared" si="5"/>
        <v>3.9345094726178781E-3</v>
      </c>
    </row>
    <row r="46" spans="1:19">
      <c r="A46" s="9" t="s">
        <v>54</v>
      </c>
      <c r="B46" s="10">
        <v>137404</v>
      </c>
      <c r="C46" s="12"/>
      <c r="D46" s="10">
        <v>17278</v>
      </c>
      <c r="E46" s="10">
        <v>4833</v>
      </c>
      <c r="F46" s="10">
        <v>21367</v>
      </c>
      <c r="G46" s="10">
        <v>22124</v>
      </c>
      <c r="H46" s="10"/>
      <c r="I46" s="10">
        <v>548570</v>
      </c>
      <c r="J46" s="10">
        <v>4235</v>
      </c>
      <c r="K46" s="12"/>
      <c r="L46" s="7"/>
      <c r="M46" s="23">
        <f t="shared" si="1"/>
        <v>2.512534469596235E-3</v>
      </c>
      <c r="N46" s="37">
        <f t="shared" si="2"/>
        <v>3.715471195841288E-4</v>
      </c>
      <c r="O46" s="23">
        <f t="shared" si="3"/>
        <v>8.7161424350796698E-3</v>
      </c>
      <c r="P46" s="23">
        <f t="shared" si="4"/>
        <v>6.8212707264117614E-2</v>
      </c>
      <c r="Q46" s="23">
        <f t="shared" si="7"/>
        <v>1.1099842672258968E-2</v>
      </c>
      <c r="R46" s="23">
        <f t="shared" si="6"/>
        <v>1.2984453857661817</v>
      </c>
      <c r="S46" s="23">
        <f t="shared" si="5"/>
        <v>3.4978454839329539E-3</v>
      </c>
    </row>
    <row r="47" spans="1:19">
      <c r="A47" s="9" t="s">
        <v>53</v>
      </c>
      <c r="B47" s="12">
        <v>379</v>
      </c>
      <c r="C47" s="12"/>
      <c r="D47" s="12"/>
      <c r="E47" s="12">
        <v>211</v>
      </c>
      <c r="F47" s="10">
        <v>5368</v>
      </c>
      <c r="G47" s="12"/>
      <c r="H47" s="10"/>
      <c r="I47" s="10">
        <v>31769</v>
      </c>
      <c r="J47" s="12">
        <v>32</v>
      </c>
      <c r="K47" s="12"/>
      <c r="L47" s="7"/>
      <c r="M47" s="23">
        <f t="shared" si="1"/>
        <v>2.5850858073571863E-3</v>
      </c>
      <c r="N47" s="37">
        <f t="shared" si="2"/>
        <v>3.3316891337164644E-4</v>
      </c>
      <c r="O47" s="23">
        <f t="shared" si="3"/>
        <v>9.4019190126857187E-3</v>
      </c>
      <c r="P47" s="23">
        <f t="shared" si="4"/>
        <v>6.3108601922720428E-2</v>
      </c>
      <c r="Q47" s="23">
        <f t="shared" si="7"/>
        <v>1.2680637066289375E-2</v>
      </c>
      <c r="R47" s="23">
        <f t="shared" si="6"/>
        <v>1.5238830428138117</v>
      </c>
      <c r="S47" s="23">
        <f t="shared" si="5"/>
        <v>3.892993620920555E-3</v>
      </c>
    </row>
    <row r="48" spans="1:19">
      <c r="A48" s="9" t="s">
        <v>52</v>
      </c>
      <c r="B48" s="10">
        <v>200342</v>
      </c>
      <c r="C48" s="12"/>
      <c r="D48" s="12"/>
      <c r="E48" s="10">
        <v>4893</v>
      </c>
      <c r="F48" s="10">
        <v>401070</v>
      </c>
      <c r="G48" s="10">
        <v>27833</v>
      </c>
      <c r="H48" s="10"/>
      <c r="I48" s="10">
        <v>89213</v>
      </c>
      <c r="J48" s="10">
        <v>2180</v>
      </c>
      <c r="K48" s="12"/>
      <c r="L48" s="7"/>
      <c r="M48" s="23">
        <f t="shared" si="1"/>
        <v>5.4099304164811693E-3</v>
      </c>
      <c r="N48" s="37">
        <f t="shared" si="2"/>
        <v>7.3843236884433606E-4</v>
      </c>
      <c r="O48" s="23">
        <f t="shared" si="3"/>
        <v>1.1302778172124966E-2</v>
      </c>
      <c r="P48" s="23">
        <f t="shared" si="4"/>
        <v>0.12768265301551551</v>
      </c>
      <c r="Q48" s="23">
        <f t="shared" si="7"/>
        <v>1.7545288262343778E-2</v>
      </c>
      <c r="R48" s="23">
        <f t="shared" si="6"/>
        <v>3.6286195377270642</v>
      </c>
      <c r="S48" s="23">
        <f t="shared" si="5"/>
        <v>5.2767872924021188E-3</v>
      </c>
    </row>
    <row r="49" spans="1:19">
      <c r="A49" s="9" t="s">
        <v>51</v>
      </c>
      <c r="B49" s="10">
        <v>2096350</v>
      </c>
      <c r="C49" s="12"/>
      <c r="D49" s="12"/>
      <c r="E49" s="10">
        <v>8956</v>
      </c>
      <c r="F49" s="10">
        <v>118665</v>
      </c>
      <c r="G49" s="10">
        <v>223598</v>
      </c>
      <c r="H49" s="10"/>
      <c r="I49" s="10">
        <v>448588</v>
      </c>
      <c r="J49" s="10">
        <v>81081</v>
      </c>
      <c r="K49" s="12"/>
      <c r="L49" s="7"/>
      <c r="M49" s="23">
        <f t="shared" si="1"/>
        <v>3.9058107144944402E-3</v>
      </c>
      <c r="N49" s="37">
        <f t="shared" si="2"/>
        <v>6.9747099157003902E-4</v>
      </c>
      <c r="O49" s="23">
        <f t="shared" si="3"/>
        <v>8.2469332481984979E-3</v>
      </c>
      <c r="P49" s="23">
        <f t="shared" si="4"/>
        <v>0.11125409441905548</v>
      </c>
      <c r="Q49" s="23">
        <f t="shared" si="7"/>
        <v>1.0741813260326831E-2</v>
      </c>
      <c r="R49" s="23">
        <f t="shared" si="6"/>
        <v>2.0431366151695585</v>
      </c>
      <c r="S49" s="23">
        <f t="shared" si="5"/>
        <v>3.4703256134924381E-3</v>
      </c>
    </row>
    <row r="50" spans="1:19">
      <c r="A50" s="9" t="s">
        <v>5</v>
      </c>
      <c r="B50" s="10">
        <v>5960</v>
      </c>
      <c r="C50" s="12"/>
      <c r="D50" s="12"/>
      <c r="E50" s="10">
        <v>1494</v>
      </c>
      <c r="F50" s="10">
        <v>26618</v>
      </c>
      <c r="G50" s="10">
        <v>1328</v>
      </c>
      <c r="H50" s="10"/>
      <c r="I50" s="10">
        <v>28465</v>
      </c>
      <c r="J50" s="12"/>
      <c r="K50" s="12"/>
      <c r="L50" s="7"/>
      <c r="M50" s="23">
        <f t="shared" si="1"/>
        <v>4.3303847177640336E-3</v>
      </c>
      <c r="N50" s="37">
        <f t="shared" si="2"/>
        <v>5.498554763955218E-4</v>
      </c>
      <c r="O50" s="23">
        <f t="shared" si="3"/>
        <v>1.0777036561496908E-2</v>
      </c>
      <c r="P50" s="23">
        <f t="shared" si="4"/>
        <v>0.10002065262663432</v>
      </c>
      <c r="Q50" s="23">
        <f t="shared" si="7"/>
        <v>1.6117492049610414E-2</v>
      </c>
      <c r="R50" s="23">
        <f t="shared" si="6"/>
        <v>2.8237559381760327</v>
      </c>
      <c r="S50" s="23">
        <f t="shared" si="5"/>
        <v>4.8427529411884879E-3</v>
      </c>
    </row>
    <row r="51" spans="1:19">
      <c r="A51" s="9" t="s">
        <v>50</v>
      </c>
      <c r="B51" s="10">
        <v>280464</v>
      </c>
      <c r="C51" s="12"/>
      <c r="D51" s="12"/>
      <c r="E51" s="10">
        <v>166794</v>
      </c>
      <c r="F51" s="10">
        <v>3250847</v>
      </c>
      <c r="G51" s="10">
        <v>23645</v>
      </c>
      <c r="H51" s="10"/>
      <c r="I51" s="10">
        <v>1517522</v>
      </c>
      <c r="J51" s="10">
        <v>1328</v>
      </c>
      <c r="K51" s="12"/>
      <c r="L51" s="7"/>
      <c r="M51" s="23">
        <f t="shared" si="1"/>
        <v>5.2886303524405601E-3</v>
      </c>
      <c r="N51" s="37">
        <f t="shared" si="2"/>
        <v>6.5215068980651063E-4</v>
      </c>
      <c r="O51" s="23">
        <f t="shared" si="3"/>
        <v>1.1820262437507155E-2</v>
      </c>
      <c r="P51" s="23">
        <f t="shared" si="4"/>
        <v>0.11662605557283517</v>
      </c>
      <c r="Q51" s="23">
        <f t="shared" si="7"/>
        <v>1.8744984246960757E-2</v>
      </c>
      <c r="R51" s="23">
        <f t="shared" si="6"/>
        <v>3.6308408065687154</v>
      </c>
      <c r="S51" s="23">
        <f t="shared" si="5"/>
        <v>5.550497171396644E-3</v>
      </c>
    </row>
    <row r="52" spans="1:19">
      <c r="A52" s="9" t="s">
        <v>49</v>
      </c>
      <c r="B52" s="10">
        <v>127051</v>
      </c>
      <c r="C52" s="12"/>
      <c r="D52" s="12"/>
      <c r="E52" s="10">
        <v>8040</v>
      </c>
      <c r="F52" s="10">
        <v>54567</v>
      </c>
      <c r="G52" s="10">
        <v>52457</v>
      </c>
      <c r="H52" s="10"/>
      <c r="I52" s="10">
        <v>674284</v>
      </c>
      <c r="J52" s="10">
        <v>13216</v>
      </c>
      <c r="K52" s="12"/>
      <c r="L52" s="7"/>
      <c r="M52" s="23">
        <f t="shared" si="1"/>
        <v>2.6479479569499202E-3</v>
      </c>
      <c r="N52" s="37">
        <f t="shared" si="2"/>
        <v>3.5857172055098077E-4</v>
      </c>
      <c r="O52" s="23">
        <f t="shared" si="3"/>
        <v>9.0543081060439016E-3</v>
      </c>
      <c r="P52" s="23">
        <f t="shared" si="4"/>
        <v>7.0848323354291823E-2</v>
      </c>
      <c r="Q52" s="23">
        <f t="shared" si="7"/>
        <v>1.1620423768632754E-2</v>
      </c>
      <c r="R52" s="23">
        <f t="shared" si="6"/>
        <v>1.4013644357145736</v>
      </c>
      <c r="S52" s="23">
        <f t="shared" si="5"/>
        <v>3.6296321263661947E-3</v>
      </c>
    </row>
    <row r="53" spans="1:19" s="3" customFormat="1">
      <c r="A53" s="26"/>
      <c r="B53" s="10">
        <f t="shared" ref="B53:G53" si="8">SUM(B4:B52)</f>
        <v>50932399</v>
      </c>
      <c r="C53" s="10">
        <f>SUM(C4:C52)</f>
        <v>6767656</v>
      </c>
      <c r="D53" s="10">
        <f t="shared" si="8"/>
        <v>163839</v>
      </c>
      <c r="E53" s="10">
        <f t="shared" si="8"/>
        <v>1508103</v>
      </c>
      <c r="F53" s="10">
        <f t="shared" si="8"/>
        <v>86248501</v>
      </c>
      <c r="G53" s="10">
        <f t="shared" si="8"/>
        <v>3521795</v>
      </c>
      <c r="H53" s="10">
        <f>SUM(H4:H52)</f>
        <v>2717000</v>
      </c>
      <c r="I53" s="10">
        <f>SUM(I4:I52)</f>
        <v>20243462</v>
      </c>
      <c r="J53" s="10">
        <f>SUM(J4:J52)</f>
        <v>1172958</v>
      </c>
      <c r="K53" s="10">
        <f>SUM(K4:K52)</f>
        <v>830929</v>
      </c>
      <c r="L53" s="10"/>
      <c r="M53" s="28">
        <f t="shared" ref="M53:S53" si="9">AVERAGE(M4:M52)</f>
        <v>5.0557548833918354E-3</v>
      </c>
      <c r="N53" s="38">
        <f t="shared" si="9"/>
        <v>7.111108363543865E-4</v>
      </c>
      <c r="O53" s="28">
        <f t="shared" si="9"/>
        <v>1.0665330307972945E-2</v>
      </c>
      <c r="P53" s="28">
        <f t="shared" si="9"/>
        <v>0.11615737998259898</v>
      </c>
      <c r="Q53" s="28">
        <f t="shared" si="9"/>
        <v>1.6194916378113856E-2</v>
      </c>
      <c r="R53" s="28">
        <f t="shared" si="9"/>
        <v>3.1710817047331257</v>
      </c>
      <c r="S53" s="28">
        <f t="shared" si="9"/>
        <v>4.7751752119132192E-3</v>
      </c>
    </row>
    <row r="54" spans="1:19" s="3" customFormat="1">
      <c r="A54" s="26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9">
      <c r="B55" s="62" t="s">
        <v>47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</row>
    <row r="56" spans="1:19" s="14" customFormat="1">
      <c r="A56" s="27"/>
      <c r="B56" s="16">
        <v>50932399</v>
      </c>
      <c r="C56" s="16">
        <v>6767656</v>
      </c>
      <c r="D56" s="16">
        <v>163839</v>
      </c>
      <c r="E56" s="16">
        <v>1508103</v>
      </c>
      <c r="F56" s="16">
        <v>86248501</v>
      </c>
      <c r="G56" s="16">
        <v>3521795</v>
      </c>
      <c r="H56" s="16">
        <v>2717000</v>
      </c>
      <c r="I56" s="16">
        <v>20235936</v>
      </c>
      <c r="J56" s="16">
        <v>1172958</v>
      </c>
      <c r="K56" s="16">
        <v>830929</v>
      </c>
      <c r="L56" s="10"/>
    </row>
    <row r="57" spans="1:19">
      <c r="B57" s="20"/>
      <c r="C57" s="10"/>
      <c r="D57" s="12"/>
      <c r="E57" s="10"/>
      <c r="F57" s="20"/>
      <c r="G57" s="10"/>
      <c r="H57" s="12"/>
      <c r="I57" s="12"/>
      <c r="J57" s="10"/>
      <c r="K57" s="10"/>
      <c r="L57" s="10"/>
    </row>
    <row r="58" spans="1:19">
      <c r="B58" s="61" t="s">
        <v>45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21"/>
    </row>
    <row r="59" spans="1:19" ht="36">
      <c r="A59" s="49" t="s">
        <v>40</v>
      </c>
      <c r="B59" s="50" t="s">
        <v>12</v>
      </c>
      <c r="C59" s="50" t="s">
        <v>13</v>
      </c>
      <c r="D59" s="50" t="s">
        <v>14</v>
      </c>
      <c r="E59" s="50" t="s">
        <v>16</v>
      </c>
      <c r="F59" s="50" t="s">
        <v>11</v>
      </c>
      <c r="G59" s="50" t="s">
        <v>10</v>
      </c>
      <c r="H59" s="51" t="s">
        <v>15</v>
      </c>
      <c r="I59" s="50" t="s">
        <v>9</v>
      </c>
      <c r="J59" s="50" t="s">
        <v>42</v>
      </c>
      <c r="K59" s="50" t="s">
        <v>26</v>
      </c>
      <c r="L59" s="50" t="s">
        <v>80</v>
      </c>
      <c r="M59" s="2" t="s">
        <v>105</v>
      </c>
      <c r="N59" s="50" t="s">
        <v>107</v>
      </c>
      <c r="O59" s="50" t="s">
        <v>108</v>
      </c>
      <c r="P59" s="52" t="s">
        <v>109</v>
      </c>
    </row>
    <row r="60" spans="1:19" s="1" customFormat="1">
      <c r="A60" s="2" t="s">
        <v>37</v>
      </c>
      <c r="B60" s="11">
        <v>4.3</v>
      </c>
      <c r="C60" s="11">
        <v>4.5</v>
      </c>
      <c r="D60" s="11">
        <v>4.5</v>
      </c>
      <c r="E60" s="11">
        <v>4.5</v>
      </c>
      <c r="F60" s="11">
        <v>3.3</v>
      </c>
      <c r="G60" s="11">
        <v>5.0999999999999996</v>
      </c>
      <c r="H60" s="16">
        <v>5.2</v>
      </c>
      <c r="I60" s="11">
        <v>4.5</v>
      </c>
      <c r="J60" s="11">
        <v>4.5</v>
      </c>
      <c r="K60" s="11">
        <v>4.5</v>
      </c>
      <c r="L60" s="11"/>
      <c r="M60" s="39">
        <f t="shared" ref="M60:M66" si="10">AVERAGE(B60:I60)</f>
        <v>4.4875000000000007</v>
      </c>
      <c r="N60" s="1">
        <v>4.5</v>
      </c>
      <c r="P60" s="1">
        <v>4.5</v>
      </c>
    </row>
    <row r="61" spans="1:19" s="1" customFormat="1">
      <c r="A61" s="2" t="s">
        <v>41</v>
      </c>
      <c r="B61" s="11">
        <v>0.9</v>
      </c>
      <c r="C61" s="11">
        <v>0.6</v>
      </c>
      <c r="D61" s="11">
        <v>0.6</v>
      </c>
      <c r="E61" s="11">
        <v>0.6</v>
      </c>
      <c r="F61" s="11">
        <v>0.4</v>
      </c>
      <c r="G61" s="11">
        <v>0.1</v>
      </c>
      <c r="H61" s="16">
        <v>1.1000000000000001</v>
      </c>
      <c r="I61" s="11">
        <v>0.6</v>
      </c>
      <c r="J61" s="11">
        <v>0.6</v>
      </c>
      <c r="K61" s="11">
        <v>0.6</v>
      </c>
      <c r="L61" s="11"/>
      <c r="M61" s="39">
        <f t="shared" si="10"/>
        <v>0.61250000000000004</v>
      </c>
      <c r="N61" s="1">
        <v>0.6</v>
      </c>
      <c r="P61" s="1">
        <v>0.6</v>
      </c>
    </row>
    <row r="62" spans="1:19" s="1" customFormat="1">
      <c r="A62" s="2" t="s">
        <v>36</v>
      </c>
      <c r="B62" s="11">
        <v>7.6</v>
      </c>
      <c r="C62" s="11">
        <v>5.0999999999999996</v>
      </c>
      <c r="D62" s="11">
        <v>14.8</v>
      </c>
      <c r="E62" s="11">
        <v>10.3</v>
      </c>
      <c r="F62" s="11">
        <v>6.6</v>
      </c>
      <c r="G62" s="11">
        <v>15</v>
      </c>
      <c r="H62" s="16">
        <v>4.7</v>
      </c>
      <c r="I62" s="11">
        <v>21.7</v>
      </c>
      <c r="J62" s="11">
        <v>10.7</v>
      </c>
      <c r="K62" s="11">
        <v>9</v>
      </c>
      <c r="L62" s="11"/>
      <c r="M62" s="39">
        <f t="shared" si="10"/>
        <v>10.725</v>
      </c>
      <c r="N62" s="1">
        <v>6.8</v>
      </c>
      <c r="P62" s="1">
        <v>9.6999999999999993</v>
      </c>
    </row>
    <row r="63" spans="1:19" s="1" customFormat="1" ht="13.5" customHeight="1">
      <c r="A63" s="2" t="s">
        <v>8</v>
      </c>
      <c r="B63" s="11">
        <v>123.6</v>
      </c>
      <c r="C63" s="11">
        <v>77</v>
      </c>
      <c r="D63" s="11">
        <v>144</v>
      </c>
      <c r="E63" s="11">
        <v>136</v>
      </c>
      <c r="F63" s="11">
        <v>70.900000000000006</v>
      </c>
      <c r="G63" s="11">
        <v>183.7</v>
      </c>
      <c r="H63" s="16">
        <v>57.4</v>
      </c>
      <c r="I63" s="11">
        <v>119</v>
      </c>
      <c r="J63" s="11">
        <v>114</v>
      </c>
      <c r="K63" s="31">
        <v>81</v>
      </c>
      <c r="L63" s="11"/>
      <c r="M63" s="39">
        <f t="shared" si="10"/>
        <v>113.95</v>
      </c>
      <c r="N63" s="1">
        <v>85</v>
      </c>
      <c r="O63" s="1">
        <v>85</v>
      </c>
      <c r="P63" s="1">
        <v>150</v>
      </c>
    </row>
    <row r="64" spans="1:19" s="1" customFormat="1">
      <c r="A64" s="2" t="s">
        <v>34</v>
      </c>
      <c r="B64" s="31">
        <f>0.544/1.073*0.01*2000</f>
        <v>10.139794967381176</v>
      </c>
      <c r="C64" s="11">
        <v>16.899999999999999</v>
      </c>
      <c r="D64" s="11">
        <v>16.899999999999999</v>
      </c>
      <c r="E64" s="11">
        <v>19.7</v>
      </c>
      <c r="F64" s="31">
        <f>0.598/1.073*0.01*2000</f>
        <v>11.146318732525629</v>
      </c>
      <c r="G64" s="31">
        <f>0.743/1.073*0.01*2000</f>
        <v>13.849021435228332</v>
      </c>
      <c r="H64" s="31">
        <f>0.322/1.073*0.01*2000</f>
        <v>6.0018639328984165</v>
      </c>
      <c r="I64" s="11">
        <v>27.2</v>
      </c>
      <c r="J64" s="11">
        <v>15.2</v>
      </c>
      <c r="K64" s="11">
        <v>7.9</v>
      </c>
      <c r="L64" s="11">
        <v>15.2</v>
      </c>
      <c r="M64" s="39">
        <f t="shared" si="10"/>
        <v>15.229624883504195</v>
      </c>
      <c r="N64" s="1">
        <v>14.1</v>
      </c>
      <c r="O64" s="1">
        <v>15</v>
      </c>
      <c r="P64" s="1">
        <v>15.9</v>
      </c>
    </row>
    <row r="65" spans="1:19" s="1" customFormat="1">
      <c r="A65" s="2" t="s">
        <v>35</v>
      </c>
      <c r="B65" s="31">
        <f>119.48/1.073*0.01*2000</f>
        <v>2227.0270270270271</v>
      </c>
      <c r="C65" s="32">
        <f>(H65+G65+F65+B65)/4</f>
        <v>2256.523765144455</v>
      </c>
      <c r="D65" s="33">
        <v>2256.523765144455</v>
      </c>
      <c r="E65" s="32">
        <v>2256.523765144455</v>
      </c>
      <c r="F65" s="31">
        <f>131.37/1.073*0.01*2000</f>
        <v>2448.6486486486488</v>
      </c>
      <c r="G65" s="31">
        <f>117.2/1.073*0.01*2000</f>
        <v>2184.5293569431501</v>
      </c>
      <c r="H65" s="31">
        <f>116.2/1.073*0.01*2000</f>
        <v>2165.8900279589939</v>
      </c>
      <c r="I65" s="32">
        <v>2256.523765144455</v>
      </c>
      <c r="J65" s="32">
        <v>2256.523765144455</v>
      </c>
      <c r="K65" s="32">
        <v>2256.5</v>
      </c>
      <c r="L65" s="15"/>
      <c r="M65" s="39">
        <f t="shared" si="10"/>
        <v>2256.523765144455</v>
      </c>
    </row>
    <row r="66" spans="1:19" s="1" customFormat="1" ht="13.5" customHeight="1">
      <c r="A66" s="2" t="s">
        <v>38</v>
      </c>
      <c r="B66" s="31">
        <f>0.18/1.073*0.01*2000</f>
        <v>3.3550792171481825</v>
      </c>
      <c r="C66" s="11">
        <v>2</v>
      </c>
      <c r="D66" s="11">
        <v>6</v>
      </c>
      <c r="E66" s="11">
        <v>5</v>
      </c>
      <c r="F66" s="31">
        <f>0.175/1.073*0.01*2000</f>
        <v>3.2618825722273996</v>
      </c>
      <c r="G66" s="31">
        <f>0.247/1.073*0.01*2000</f>
        <v>4.6039142590866735</v>
      </c>
      <c r="H66" s="31">
        <f>0.072/1.073*0.01*2000</f>
        <v>1.342031686859273</v>
      </c>
      <c r="I66" s="11">
        <v>8.5</v>
      </c>
      <c r="J66" s="11">
        <v>4.5</v>
      </c>
      <c r="K66" s="31">
        <v>2.5</v>
      </c>
      <c r="L66" s="11"/>
      <c r="M66" s="39">
        <f t="shared" si="10"/>
        <v>4.2578634669151905</v>
      </c>
      <c r="O66" s="1">
        <v>3</v>
      </c>
      <c r="P66" s="1">
        <v>4</v>
      </c>
    </row>
    <row r="67" spans="1:19" s="1" customFormat="1" ht="13.5" customHeight="1">
      <c r="A67" s="2"/>
      <c r="B67" s="31"/>
      <c r="C67" s="11"/>
      <c r="D67" s="11"/>
      <c r="E67" s="11"/>
      <c r="F67" s="31"/>
      <c r="G67" s="31"/>
      <c r="H67" s="31"/>
      <c r="I67" s="11"/>
      <c r="J67" s="11"/>
      <c r="K67" s="31"/>
      <c r="L67" s="11"/>
    </row>
    <row r="68" spans="1:19" s="1" customFormat="1" ht="13.5" customHeight="1">
      <c r="A68" s="2"/>
      <c r="B68" s="63" t="s">
        <v>48</v>
      </c>
      <c r="C68" s="63"/>
      <c r="D68" s="63"/>
      <c r="E68" s="63"/>
      <c r="F68" s="63"/>
      <c r="G68" s="63"/>
      <c r="H68" s="63"/>
      <c r="I68" s="63"/>
      <c r="J68" s="63"/>
      <c r="K68" s="63"/>
      <c r="L68" s="63"/>
    </row>
    <row r="69" spans="1:19" s="14" customFormat="1">
      <c r="A69" s="27" t="s">
        <v>39</v>
      </c>
      <c r="B69" s="15">
        <v>1.9</v>
      </c>
      <c r="C69" s="15">
        <v>2.9</v>
      </c>
      <c r="D69" s="15">
        <v>1.3</v>
      </c>
      <c r="E69" s="15">
        <v>1.6</v>
      </c>
      <c r="F69" s="15">
        <v>4.2</v>
      </c>
      <c r="G69" s="15">
        <v>1.7</v>
      </c>
      <c r="H69" s="16">
        <v>3</v>
      </c>
      <c r="I69" s="15">
        <v>0.8</v>
      </c>
      <c r="J69" s="15">
        <v>2.2000000000000002</v>
      </c>
      <c r="K69" s="15">
        <v>4</v>
      </c>
      <c r="L69" s="15">
        <v>2.2000000000000002</v>
      </c>
      <c r="M69" s="39">
        <f>AVERAGE(B69:K69)</f>
        <v>2.36</v>
      </c>
      <c r="N69" s="14">
        <v>3.2</v>
      </c>
      <c r="O69" s="14">
        <v>3.2</v>
      </c>
      <c r="P69" s="14">
        <v>1</v>
      </c>
    </row>
    <row r="70" spans="1:19" s="14" customFormat="1">
      <c r="A70" s="27"/>
      <c r="J70" s="8"/>
      <c r="M70" s="13"/>
    </row>
    <row r="71" spans="1:19" s="1" customFormat="1">
      <c r="A71" s="2"/>
      <c r="B71" s="60" t="s">
        <v>46</v>
      </c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11"/>
      <c r="N71" s="11"/>
      <c r="O71" s="11"/>
    </row>
    <row r="72" spans="1:19" s="1" customFormat="1" ht="36">
      <c r="A72" s="2"/>
      <c r="B72" s="22" t="s">
        <v>12</v>
      </c>
      <c r="C72" s="22" t="s">
        <v>13</v>
      </c>
      <c r="D72" s="22" t="s">
        <v>14</v>
      </c>
      <c r="E72" s="22" t="s">
        <v>16</v>
      </c>
      <c r="F72" s="22" t="s">
        <v>11</v>
      </c>
      <c r="G72" s="22" t="s">
        <v>10</v>
      </c>
      <c r="H72" s="22" t="s">
        <v>15</v>
      </c>
      <c r="I72" s="22" t="s">
        <v>78</v>
      </c>
      <c r="J72" s="22" t="s">
        <v>42</v>
      </c>
      <c r="K72" s="22" t="s">
        <v>26</v>
      </c>
      <c r="L72" s="24" t="s">
        <v>0</v>
      </c>
      <c r="M72" s="2" t="s">
        <v>106</v>
      </c>
      <c r="N72" s="50" t="s">
        <v>107</v>
      </c>
      <c r="O72" s="50" t="s">
        <v>108</v>
      </c>
      <c r="P72" s="52" t="s">
        <v>109</v>
      </c>
      <c r="Q72" s="2"/>
      <c r="R72" s="2"/>
      <c r="S72" s="2"/>
    </row>
    <row r="73" spans="1:19" s="1" customFormat="1">
      <c r="A73" s="2" t="s">
        <v>37</v>
      </c>
      <c r="B73" s="29">
        <f t="shared" ref="B73:B78" si="11">B60*B$69/2000</f>
        <v>4.0850000000000001E-3</v>
      </c>
      <c r="C73" s="29">
        <f t="shared" ref="C73:K73" si="12">C60*C$69/2000</f>
        <v>6.5249999999999996E-3</v>
      </c>
      <c r="D73" s="29">
        <f t="shared" si="12"/>
        <v>2.9250000000000001E-3</v>
      </c>
      <c r="E73" s="29">
        <f>E60*E$69/2000</f>
        <v>3.5999999999999999E-3</v>
      </c>
      <c r="F73" s="29">
        <f t="shared" si="12"/>
        <v>6.9299999999999995E-3</v>
      </c>
      <c r="G73" s="29">
        <f t="shared" si="12"/>
        <v>4.3350000000000003E-3</v>
      </c>
      <c r="H73" s="29">
        <f>H60*H$69/2000</f>
        <v>7.8000000000000005E-3</v>
      </c>
      <c r="I73" s="29">
        <f t="shared" si="12"/>
        <v>1.8E-3</v>
      </c>
      <c r="J73" s="29">
        <f t="shared" si="12"/>
        <v>4.9500000000000004E-3</v>
      </c>
      <c r="K73" s="29">
        <f t="shared" si="12"/>
        <v>8.9999999999999993E-3</v>
      </c>
      <c r="L73" s="30">
        <v>5.8999999999999999E-3</v>
      </c>
      <c r="M73" s="29">
        <f>AVERAGE(B73:J73)</f>
        <v>4.7722222222222228E-3</v>
      </c>
      <c r="N73" s="29">
        <f>N60*N$69/2000</f>
        <v>7.1999999999999998E-3</v>
      </c>
      <c r="O73" s="29"/>
      <c r="P73" s="29">
        <f>P60*P$69/2000</f>
        <v>2.2499999999999998E-3</v>
      </c>
      <c r="Q73" s="19"/>
    </row>
    <row r="74" spans="1:19" s="1" customFormat="1">
      <c r="A74" s="2" t="s">
        <v>41</v>
      </c>
      <c r="B74" s="29">
        <f t="shared" si="11"/>
        <v>8.5499999999999997E-4</v>
      </c>
      <c r="C74" s="29">
        <f t="shared" ref="C74:K74" si="13">C61*C$69/2000</f>
        <v>8.7000000000000001E-4</v>
      </c>
      <c r="D74" s="29">
        <f t="shared" si="13"/>
        <v>3.8999999999999999E-4</v>
      </c>
      <c r="E74" s="29">
        <f t="shared" si="13"/>
        <v>4.7999999999999996E-4</v>
      </c>
      <c r="F74" s="29">
        <f t="shared" si="13"/>
        <v>8.4000000000000003E-4</v>
      </c>
      <c r="G74" s="29">
        <f t="shared" si="13"/>
        <v>8.5000000000000006E-5</v>
      </c>
      <c r="H74" s="29">
        <f t="shared" si="13"/>
        <v>1.6500000000000002E-3</v>
      </c>
      <c r="I74" s="29">
        <f t="shared" si="13"/>
        <v>2.3999999999999998E-4</v>
      </c>
      <c r="J74" s="29">
        <f t="shared" si="13"/>
        <v>6.6E-4</v>
      </c>
      <c r="K74" s="29">
        <f t="shared" si="13"/>
        <v>1.1999999999999999E-3</v>
      </c>
      <c r="L74" s="30">
        <v>2.8E-3</v>
      </c>
      <c r="M74" s="29">
        <f t="shared" ref="M74:M79" si="14">AVERAGE(B74:J74)</f>
        <v>6.7444444444444442E-4</v>
      </c>
      <c r="N74" s="29">
        <f>N61*N$69/2000</f>
        <v>9.5999999999999992E-4</v>
      </c>
      <c r="O74" s="11"/>
      <c r="P74" s="29">
        <f>P61*P$69/2000</f>
        <v>2.9999999999999997E-4</v>
      </c>
      <c r="Q74" s="19"/>
    </row>
    <row r="75" spans="1:19" s="1" customFormat="1">
      <c r="A75" s="2" t="s">
        <v>36</v>
      </c>
      <c r="B75" s="29">
        <f t="shared" si="11"/>
        <v>7.2199999999999999E-3</v>
      </c>
      <c r="C75" s="29">
        <f t="shared" ref="C75:K75" si="15">C62*C$69/2000</f>
        <v>7.3949999999999997E-3</v>
      </c>
      <c r="D75" s="29">
        <f t="shared" si="15"/>
        <v>9.6200000000000018E-3</v>
      </c>
      <c r="E75" s="29">
        <f t="shared" si="15"/>
        <v>8.2400000000000008E-3</v>
      </c>
      <c r="F75" s="29">
        <f t="shared" si="15"/>
        <v>1.3859999999999999E-2</v>
      </c>
      <c r="G75" s="29">
        <f t="shared" si="15"/>
        <v>1.2749999999999999E-2</v>
      </c>
      <c r="H75" s="29">
        <f t="shared" si="15"/>
        <v>7.0500000000000007E-3</v>
      </c>
      <c r="I75" s="29">
        <f t="shared" si="15"/>
        <v>8.6800000000000002E-3</v>
      </c>
      <c r="J75" s="29">
        <f t="shared" si="15"/>
        <v>1.1769999999999999E-2</v>
      </c>
      <c r="K75" s="29">
        <f t="shared" si="15"/>
        <v>1.7999999999999999E-2</v>
      </c>
      <c r="L75" s="30">
        <v>1.3899999999999999E-2</v>
      </c>
      <c r="M75" s="29">
        <f t="shared" si="14"/>
        <v>9.6205555555555558E-3</v>
      </c>
      <c r="N75" s="29">
        <f>N62*N$69/2000</f>
        <v>1.0880000000000001E-2</v>
      </c>
      <c r="O75" s="11"/>
      <c r="P75" s="29">
        <f>P62*P$69/2000</f>
        <v>4.8499999999999993E-3</v>
      </c>
      <c r="Q75" s="1">
        <f>9*0.57/2000*1.9</f>
        <v>4.8734999999999994E-3</v>
      </c>
    </row>
    <row r="76" spans="1:19" s="1" customFormat="1">
      <c r="A76" s="2" t="s">
        <v>8</v>
      </c>
      <c r="B76" s="29">
        <f t="shared" si="11"/>
        <v>0.11741999999999998</v>
      </c>
      <c r="C76" s="29">
        <f t="shared" ref="C76:K76" si="16">C63*C$69/2000</f>
        <v>0.11164999999999999</v>
      </c>
      <c r="D76" s="29">
        <f t="shared" si="16"/>
        <v>9.3600000000000003E-2</v>
      </c>
      <c r="E76" s="29">
        <f t="shared" si="16"/>
        <v>0.10880000000000001</v>
      </c>
      <c r="F76" s="29">
        <f t="shared" si="16"/>
        <v>0.14889000000000002</v>
      </c>
      <c r="G76" s="29">
        <f t="shared" si="16"/>
        <v>0.15614499999999998</v>
      </c>
      <c r="H76" s="29">
        <f t="shared" si="16"/>
        <v>8.6099999999999996E-2</v>
      </c>
      <c r="I76" s="29">
        <f t="shared" si="16"/>
        <v>4.7600000000000003E-2</v>
      </c>
      <c r="J76" s="29">
        <f t="shared" si="16"/>
        <v>0.12540000000000001</v>
      </c>
      <c r="K76" s="29">
        <f t="shared" si="16"/>
        <v>0.16200000000000001</v>
      </c>
      <c r="L76" s="30">
        <v>0.21659999999999999</v>
      </c>
      <c r="M76" s="29">
        <f t="shared" si="14"/>
        <v>0.11062277777777776</v>
      </c>
      <c r="N76" s="29">
        <f>N63*N$69/2000</f>
        <v>0.13600000000000001</v>
      </c>
      <c r="O76" s="29">
        <f>O63*O$69/2000</f>
        <v>0.13600000000000001</v>
      </c>
      <c r="P76" s="29">
        <f>P63*P$69/2000</f>
        <v>7.4999999999999997E-2</v>
      </c>
      <c r="Q76" s="19"/>
    </row>
    <row r="77" spans="1:19" s="1" customFormat="1">
      <c r="A77" s="2" t="s">
        <v>34</v>
      </c>
      <c r="B77" s="29">
        <f t="shared" si="11"/>
        <v>9.632805219012117E-3</v>
      </c>
      <c r="C77" s="29">
        <f t="shared" ref="C77:K77" si="17">C64*C$69/2000</f>
        <v>2.4504999999999996E-2</v>
      </c>
      <c r="D77" s="29">
        <f t="shared" si="17"/>
        <v>1.0985E-2</v>
      </c>
      <c r="E77" s="29">
        <f t="shared" si="17"/>
        <v>1.576E-2</v>
      </c>
      <c r="F77" s="29">
        <f t="shared" si="17"/>
        <v>2.340726933830382E-2</v>
      </c>
      <c r="G77" s="29">
        <f t="shared" si="17"/>
        <v>1.1771668219944083E-2</v>
      </c>
      <c r="H77" s="29">
        <f t="shared" si="17"/>
        <v>9.0027958993476251E-3</v>
      </c>
      <c r="I77" s="29">
        <f t="shared" si="17"/>
        <v>1.0880000000000001E-2</v>
      </c>
      <c r="J77" s="29">
        <f t="shared" si="17"/>
        <v>1.6719999999999999E-2</v>
      </c>
      <c r="K77" s="29">
        <f t="shared" si="17"/>
        <v>1.5800000000000002E-2</v>
      </c>
      <c r="L77" s="29">
        <f>L64*L$69/2000</f>
        <v>1.6719999999999999E-2</v>
      </c>
      <c r="M77" s="29">
        <f t="shared" si="14"/>
        <v>1.474050429740085E-2</v>
      </c>
      <c r="N77" s="29">
        <f>N64*N$69/2000</f>
        <v>2.2560000000000004E-2</v>
      </c>
      <c r="O77" s="29">
        <f>O64*O$69/2000</f>
        <v>2.4E-2</v>
      </c>
      <c r="P77" s="29">
        <f>P64*P$69/2000</f>
        <v>7.9500000000000005E-3</v>
      </c>
      <c r="Q77" s="19"/>
    </row>
    <row r="78" spans="1:19" s="1" customFormat="1">
      <c r="A78" s="2" t="s">
        <v>35</v>
      </c>
      <c r="B78" s="29">
        <f t="shared" si="11"/>
        <v>2.1156756756756758</v>
      </c>
      <c r="C78" s="29">
        <f t="shared" ref="C78:K78" si="18">C65*C$69/2000</f>
        <v>3.2719594594594597</v>
      </c>
      <c r="D78" s="29">
        <f t="shared" si="18"/>
        <v>1.4667404473438959</v>
      </c>
      <c r="E78" s="29">
        <f t="shared" si="18"/>
        <v>1.805219012115564</v>
      </c>
      <c r="F78" s="29">
        <f t="shared" si="18"/>
        <v>5.1421621621621627</v>
      </c>
      <c r="G78" s="29">
        <f t="shared" si="18"/>
        <v>1.8568499534016776</v>
      </c>
      <c r="H78" s="29">
        <f t="shared" si="18"/>
        <v>3.2488350419384906</v>
      </c>
      <c r="I78" s="29">
        <f>I65*I$69/2000</f>
        <v>0.90260950605778201</v>
      </c>
      <c r="J78" s="29">
        <f t="shared" si="18"/>
        <v>2.4821761416589005</v>
      </c>
      <c r="K78" s="29">
        <f t="shared" si="18"/>
        <v>4.5129999999999999</v>
      </c>
      <c r="L78" s="30"/>
      <c r="M78" s="29">
        <f t="shared" si="14"/>
        <v>2.4769141555348457</v>
      </c>
      <c r="N78" s="29"/>
      <c r="O78" s="29"/>
      <c r="P78" s="29"/>
    </row>
    <row r="79" spans="1:19" s="1" customFormat="1">
      <c r="A79" s="2" t="s">
        <v>38</v>
      </c>
      <c r="B79" s="29">
        <f t="shared" ref="B79:K79" si="19">B66*B$69/2000</f>
        <v>3.1873252562907729E-3</v>
      </c>
      <c r="C79" s="29">
        <f t="shared" si="19"/>
        <v>2.8999999999999998E-3</v>
      </c>
      <c r="D79" s="29">
        <f t="shared" si="19"/>
        <v>3.9000000000000003E-3</v>
      </c>
      <c r="E79" s="29">
        <f t="shared" si="19"/>
        <v>4.0000000000000001E-3</v>
      </c>
      <c r="F79" s="29">
        <f t="shared" si="19"/>
        <v>6.8499534016775391E-3</v>
      </c>
      <c r="G79" s="29">
        <f t="shared" si="19"/>
        <v>3.9133271202236725E-3</v>
      </c>
      <c r="H79" s="29">
        <f t="shared" si="19"/>
        <v>2.0130475302889096E-3</v>
      </c>
      <c r="I79" s="29">
        <f t="shared" si="19"/>
        <v>3.4000000000000002E-3</v>
      </c>
      <c r="J79" s="29">
        <f t="shared" si="19"/>
        <v>4.9500000000000004E-3</v>
      </c>
      <c r="K79" s="29">
        <f t="shared" si="19"/>
        <v>5.0000000000000001E-3</v>
      </c>
      <c r="L79" s="30"/>
      <c r="M79" s="29">
        <f t="shared" si="14"/>
        <v>3.901517034275655E-3</v>
      </c>
      <c r="N79" s="29"/>
      <c r="O79" s="29">
        <f>O66*O$69/2000</f>
        <v>4.8000000000000004E-3</v>
      </c>
      <c r="P79" s="29">
        <f>P66*P$69/2000</f>
        <v>2E-3</v>
      </c>
      <c r="Q79" s="1">
        <f>3*0.57/2000*1.9</f>
        <v>1.6244999999999999E-3</v>
      </c>
    </row>
    <row r="80" spans="1:19" s="1" customFormat="1">
      <c r="A80" s="2" t="s">
        <v>79</v>
      </c>
      <c r="B80" s="29">
        <v>1.6E-2</v>
      </c>
      <c r="C80" s="19"/>
      <c r="D80" s="19"/>
      <c r="E80" s="19"/>
      <c r="F80" s="19"/>
      <c r="G80" s="19"/>
      <c r="H80" s="19"/>
      <c r="I80" s="19"/>
      <c r="J80" s="19"/>
      <c r="K80" s="19"/>
      <c r="L80" s="8"/>
    </row>
    <row r="81" spans="1:14">
      <c r="B81" s="3"/>
      <c r="C81" s="3"/>
      <c r="E81" s="3"/>
      <c r="F81" s="3"/>
      <c r="G81" s="3"/>
      <c r="L81" s="10"/>
    </row>
    <row r="82" spans="1:14">
      <c r="A82" s="5">
        <v>2002</v>
      </c>
      <c r="B82" s="41"/>
      <c r="C82" s="41"/>
      <c r="D82" s="41"/>
      <c r="E82" s="53"/>
      <c r="F82" s="53" t="s">
        <v>111</v>
      </c>
      <c r="G82" s="54">
        <v>224871</v>
      </c>
      <c r="H82" s="57" t="s">
        <v>110</v>
      </c>
      <c r="I82" s="56">
        <f>G82/M77</f>
        <v>15255312.536332345</v>
      </c>
      <c r="J82" s="56"/>
      <c r="K82" s="55"/>
      <c r="L82" s="56"/>
      <c r="M82" s="55"/>
      <c r="N82" s="55"/>
    </row>
    <row r="83" spans="1:14">
      <c r="A83" s="5"/>
      <c r="J83" s="4"/>
    </row>
    <row r="84" spans="1:14" s="1" customFormat="1" ht="24">
      <c r="A84" s="22"/>
      <c r="B84" s="22" t="s">
        <v>12</v>
      </c>
      <c r="C84" s="22" t="s">
        <v>13</v>
      </c>
      <c r="D84" s="22" t="s">
        <v>14</v>
      </c>
      <c r="E84" s="22" t="s">
        <v>16</v>
      </c>
      <c r="F84" s="22" t="s">
        <v>11</v>
      </c>
      <c r="G84" s="22" t="s">
        <v>10</v>
      </c>
      <c r="H84" s="22" t="s">
        <v>15</v>
      </c>
      <c r="I84" s="22" t="s">
        <v>9</v>
      </c>
      <c r="J84" s="22" t="s">
        <v>42</v>
      </c>
      <c r="K84" s="22" t="s">
        <v>26</v>
      </c>
      <c r="L84" s="22" t="s">
        <v>103</v>
      </c>
    </row>
    <row r="85" spans="1:14">
      <c r="A85" s="9" t="s">
        <v>37</v>
      </c>
      <c r="B85" s="12">
        <v>2</v>
      </c>
      <c r="C85" s="12">
        <v>2</v>
      </c>
      <c r="D85" s="12">
        <v>2</v>
      </c>
      <c r="E85" s="12">
        <v>2</v>
      </c>
      <c r="F85" s="12">
        <v>2</v>
      </c>
      <c r="G85" s="12">
        <v>2</v>
      </c>
      <c r="H85" s="12">
        <v>2</v>
      </c>
      <c r="I85" s="12">
        <v>2</v>
      </c>
      <c r="J85" s="6" t="s">
        <v>104</v>
      </c>
      <c r="K85" s="12">
        <v>6</v>
      </c>
      <c r="L85" s="12">
        <v>5</v>
      </c>
    </row>
    <row r="86" spans="1:14">
      <c r="A86" s="9" t="s">
        <v>41</v>
      </c>
      <c r="B86" s="12">
        <v>2</v>
      </c>
      <c r="C86" s="12">
        <v>2</v>
      </c>
      <c r="D86" s="12">
        <v>2</v>
      </c>
      <c r="E86" s="12">
        <v>2</v>
      </c>
      <c r="F86" s="12">
        <v>2</v>
      </c>
      <c r="G86" s="12">
        <v>2</v>
      </c>
      <c r="H86" s="12">
        <v>2</v>
      </c>
      <c r="I86" s="12">
        <v>2</v>
      </c>
      <c r="J86" s="12">
        <v>3</v>
      </c>
      <c r="K86" s="12">
        <v>6</v>
      </c>
      <c r="L86" s="12">
        <v>5</v>
      </c>
    </row>
    <row r="87" spans="1:14">
      <c r="A87" s="9" t="s">
        <v>36</v>
      </c>
      <c r="B87" s="6" t="s">
        <v>102</v>
      </c>
      <c r="C87" s="6" t="s">
        <v>101</v>
      </c>
      <c r="D87" s="6" t="s">
        <v>101</v>
      </c>
      <c r="E87" s="6" t="s">
        <v>101</v>
      </c>
      <c r="F87" s="6" t="s">
        <v>102</v>
      </c>
      <c r="G87" s="6" t="s">
        <v>102</v>
      </c>
      <c r="H87" s="6" t="s">
        <v>102</v>
      </c>
      <c r="I87" s="6" t="s">
        <v>101</v>
      </c>
      <c r="J87" s="12">
        <v>3</v>
      </c>
      <c r="K87" s="12">
        <v>6</v>
      </c>
      <c r="L87" s="12">
        <v>5</v>
      </c>
    </row>
    <row r="88" spans="1:14">
      <c r="A88" s="9" t="s">
        <v>8</v>
      </c>
      <c r="B88" s="6">
        <v>4</v>
      </c>
      <c r="C88" s="6">
        <v>4</v>
      </c>
      <c r="D88" s="6">
        <v>4</v>
      </c>
      <c r="E88" s="6">
        <v>4</v>
      </c>
      <c r="F88" s="6">
        <v>4</v>
      </c>
      <c r="G88" s="6">
        <v>4</v>
      </c>
      <c r="H88" s="6">
        <v>4</v>
      </c>
      <c r="I88" s="6">
        <v>4</v>
      </c>
      <c r="J88" s="12">
        <v>2</v>
      </c>
      <c r="K88" s="12">
        <v>6</v>
      </c>
      <c r="L88" s="12">
        <v>5</v>
      </c>
    </row>
    <row r="89" spans="1:14">
      <c r="A89" s="46" t="s">
        <v>34</v>
      </c>
      <c r="B89" s="12">
        <v>2</v>
      </c>
      <c r="C89" s="6" t="s">
        <v>101</v>
      </c>
      <c r="D89" s="6" t="s">
        <v>101</v>
      </c>
      <c r="E89" s="6" t="s">
        <v>101</v>
      </c>
      <c r="F89" s="12">
        <v>2</v>
      </c>
      <c r="G89" s="12">
        <v>2</v>
      </c>
      <c r="H89" s="12">
        <v>2</v>
      </c>
      <c r="I89" s="6" t="s">
        <v>101</v>
      </c>
      <c r="J89" s="12">
        <v>2</v>
      </c>
      <c r="K89" s="12">
        <v>6</v>
      </c>
      <c r="L89" s="12">
        <v>5</v>
      </c>
    </row>
    <row r="90" spans="1:14">
      <c r="A90" s="9" t="s">
        <v>35</v>
      </c>
      <c r="B90" s="12">
        <v>2</v>
      </c>
      <c r="C90" s="12"/>
      <c r="D90" s="12"/>
      <c r="E90" s="12"/>
      <c r="F90" s="12">
        <v>2</v>
      </c>
      <c r="G90" s="12">
        <v>2</v>
      </c>
      <c r="H90" s="12">
        <v>2</v>
      </c>
      <c r="I90" s="12"/>
      <c r="J90" s="12"/>
      <c r="K90" s="12"/>
      <c r="L90" s="12"/>
    </row>
    <row r="91" spans="1:14">
      <c r="A91" s="9" t="s">
        <v>38</v>
      </c>
      <c r="B91" s="12">
        <v>2</v>
      </c>
      <c r="C91" s="12">
        <v>4</v>
      </c>
      <c r="D91" s="12">
        <v>4</v>
      </c>
      <c r="E91" s="12"/>
      <c r="F91" s="12"/>
      <c r="G91" s="12"/>
      <c r="H91" s="12"/>
      <c r="I91" s="12">
        <v>4</v>
      </c>
      <c r="J91" s="12">
        <v>4</v>
      </c>
      <c r="K91" s="12">
        <v>4</v>
      </c>
      <c r="L91" s="12"/>
    </row>
    <row r="92" spans="1:14">
      <c r="A92" s="5"/>
      <c r="J92" s="4"/>
    </row>
    <row r="93" spans="1:14">
      <c r="A93" s="47" t="s">
        <v>39</v>
      </c>
      <c r="B93" s="12">
        <v>4</v>
      </c>
      <c r="C93" s="12">
        <v>4</v>
      </c>
      <c r="D93" s="12">
        <v>4</v>
      </c>
      <c r="E93" s="12">
        <v>4</v>
      </c>
      <c r="F93" s="12">
        <v>4</v>
      </c>
      <c r="G93" s="12">
        <v>4</v>
      </c>
      <c r="H93" s="12">
        <v>4</v>
      </c>
      <c r="I93" s="12">
        <v>4</v>
      </c>
      <c r="J93" s="10">
        <v>3</v>
      </c>
      <c r="K93" s="12">
        <v>6</v>
      </c>
    </row>
    <row r="94" spans="1:14">
      <c r="A94" s="5"/>
      <c r="J94" s="4"/>
    </row>
    <row r="95" spans="1:14">
      <c r="A95" s="5">
        <v>1</v>
      </c>
      <c r="B95" s="12" t="s">
        <v>82</v>
      </c>
      <c r="C95" s="3" t="s">
        <v>95</v>
      </c>
      <c r="J95" s="4"/>
    </row>
    <row r="96" spans="1:14">
      <c r="A96" s="5"/>
      <c r="B96" s="12"/>
      <c r="C96" s="17" t="s">
        <v>93</v>
      </c>
      <c r="J96" s="4"/>
    </row>
    <row r="97" spans="1:12">
      <c r="A97" s="5">
        <v>2</v>
      </c>
      <c r="B97" s="12" t="s">
        <v>83</v>
      </c>
      <c r="C97" t="s">
        <v>94</v>
      </c>
      <c r="J97" s="4"/>
    </row>
    <row r="98" spans="1:12">
      <c r="A98" s="5"/>
      <c r="B98" s="12"/>
      <c r="C98" t="s">
        <v>92</v>
      </c>
      <c r="G98" s="17"/>
      <c r="J98" s="4"/>
    </row>
    <row r="99" spans="1:12">
      <c r="A99" s="5"/>
      <c r="B99" s="12"/>
      <c r="C99" s="17" t="s">
        <v>100</v>
      </c>
      <c r="G99" s="17"/>
      <c r="J99" s="4"/>
    </row>
    <row r="100" spans="1:12">
      <c r="A100" s="5">
        <v>3</v>
      </c>
      <c r="B100" s="12" t="s">
        <v>87</v>
      </c>
      <c r="C100" t="s">
        <v>91</v>
      </c>
      <c r="J100" s="4"/>
    </row>
    <row r="101" spans="1:12">
      <c r="A101" s="5"/>
      <c r="B101" s="12"/>
      <c r="C101" s="17" t="s">
        <v>33</v>
      </c>
      <c r="J101" s="4"/>
    </row>
    <row r="102" spans="1:12">
      <c r="A102" s="5">
        <v>4</v>
      </c>
      <c r="B102" s="12" t="s">
        <v>86</v>
      </c>
      <c r="C102" t="s">
        <v>89</v>
      </c>
      <c r="J102" s="4"/>
    </row>
    <row r="103" spans="1:12">
      <c r="A103" s="5"/>
      <c r="B103" s="12"/>
      <c r="C103" s="17" t="s">
        <v>43</v>
      </c>
      <c r="J103" s="4"/>
    </row>
    <row r="104" spans="1:12">
      <c r="A104" s="5">
        <v>5</v>
      </c>
      <c r="B104" s="12" t="s">
        <v>85</v>
      </c>
      <c r="C104" s="3" t="s">
        <v>90</v>
      </c>
      <c r="J104" s="4"/>
    </row>
    <row r="105" spans="1:12">
      <c r="A105" s="5"/>
      <c r="B105" s="12"/>
      <c r="C105" s="17" t="s">
        <v>88</v>
      </c>
      <c r="J105" s="4"/>
    </row>
    <row r="106" spans="1:12">
      <c r="A106" s="5">
        <v>6</v>
      </c>
      <c r="B106" s="12" t="s">
        <v>84</v>
      </c>
      <c r="C106" s="45" t="s">
        <v>99</v>
      </c>
      <c r="D106" s="42"/>
      <c r="E106" s="42"/>
      <c r="F106" s="42"/>
      <c r="G106" s="42"/>
      <c r="H106" s="42"/>
      <c r="I106" s="42"/>
      <c r="J106" s="43"/>
      <c r="K106" s="42"/>
      <c r="L106" s="44"/>
    </row>
    <row r="107" spans="1:12">
      <c r="A107" s="5"/>
      <c r="B107" s="12"/>
      <c r="C107" s="42" t="s">
        <v>97</v>
      </c>
      <c r="J107" s="4"/>
    </row>
    <row r="108" spans="1:12">
      <c r="A108" s="5"/>
      <c r="B108" s="12"/>
      <c r="C108" t="s">
        <v>98</v>
      </c>
      <c r="G108" s="12" t="s">
        <v>96</v>
      </c>
    </row>
    <row r="109" spans="1:12">
      <c r="A109" s="5"/>
      <c r="B109" s="12"/>
      <c r="C109" s="17"/>
      <c r="J109" s="4"/>
    </row>
    <row r="110" spans="1:12">
      <c r="A110" s="5"/>
      <c r="C110" s="17"/>
      <c r="J110" s="4"/>
    </row>
    <row r="111" spans="1:12">
      <c r="A111" s="5">
        <v>7</v>
      </c>
      <c r="B111" s="34" t="s">
        <v>44</v>
      </c>
      <c r="C111" s="48"/>
      <c r="D111" s="34"/>
      <c r="E111" s="34"/>
      <c r="F111" s="35"/>
      <c r="G111" s="35"/>
      <c r="H111" s="35"/>
      <c r="I111" s="35"/>
    </row>
    <row r="112" spans="1:12">
      <c r="A112" s="5"/>
    </row>
    <row r="113" spans="1:2">
      <c r="A113" s="5"/>
      <c r="B113" s="36"/>
    </row>
    <row r="114" spans="1:2">
      <c r="A114" s="5"/>
      <c r="B114" s="18"/>
    </row>
    <row r="115" spans="1:2">
      <c r="A115" s="5"/>
    </row>
    <row r="116" spans="1:2">
      <c r="A116" s="5"/>
    </row>
  </sheetData>
  <mergeCells count="6">
    <mergeCell ref="M1:S1"/>
    <mergeCell ref="B1:K1"/>
    <mergeCell ref="B71:L71"/>
    <mergeCell ref="B58:L58"/>
    <mergeCell ref="B55:L55"/>
    <mergeCell ref="B68:L68"/>
  </mergeCells>
  <phoneticPr fontId="2" type="noConversion"/>
  <hyperlinks>
    <hyperlink ref="C101" r:id="rId1"/>
    <hyperlink ref="C103" r:id="rId2"/>
    <hyperlink ref="C105" r:id="rId3"/>
    <hyperlink ref="C99" r:id="rId4"/>
    <hyperlink ref="C96" r:id="rId5"/>
  </hyperlinks>
  <pageMargins left="0.75" right="0.75" top="1" bottom="1" header="0.5" footer="0.5"/>
  <pageSetup orientation="portrait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 &amp; Crop Acres</vt:lpstr>
    </vt:vector>
  </TitlesOfParts>
  <Company>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ctsuser</dc:creator>
  <cp:lastModifiedBy>EPA</cp:lastModifiedBy>
  <dcterms:created xsi:type="dcterms:W3CDTF">2009-12-15T15:20:32Z</dcterms:created>
  <dcterms:modified xsi:type="dcterms:W3CDTF">2010-12-23T17:31:43Z</dcterms:modified>
</cp:coreProperties>
</file>